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RAVELIFE CONSUPTION 2023" sheetId="1" r:id="rId1"/>
    <sheet name="TRAVELIFE CONSUPTION 2022" sheetId="2" r:id="rId2"/>
    <sheet name="TRAVELIFE CONSUPTION 2021" sheetId="3" r:id="rId3"/>
    <sheet name="TRAVELIFE CONSUPTION 2020" sheetId="4" r:id="rId4"/>
    <sheet name="TRAVELIFE CONSUPTION 2019" sheetId="5" r:id="rId5"/>
    <sheet name="TRAVELIFE CONSUPTION 2018" sheetId="6" r:id="rId6"/>
    <sheet name="TRAVELIFE CONSUMPTION 2017" sheetId="7" r:id="rId7"/>
    <sheet name="TRAVELIFE CONSUMPION 2016" sheetId="8" r:id="rId8"/>
    <sheet name="ATLANTICA MIKRI POLI CRETE 2015" sheetId="9" r:id="rId9"/>
  </sheets>
  <definedNames>
    <definedName name="_xlnm.Print_Area" localSheetId="6">'TRAVELIFE CONSUMPTION 2017'!$A$1:$T$37</definedName>
  </definedNames>
  <calcPr fullCalcOnLoad="1"/>
</workbook>
</file>

<file path=xl/comments9.xml><?xml version="1.0" encoding="utf-8"?>
<comments xmlns="http://schemas.openxmlformats.org/spreadsheetml/2006/main">
  <authors>
    <author>Συντάκτης</author>
  </authors>
  <commentList>
    <comment ref="G10" authorId="0">
      <text>
        <r>
          <rPr>
            <b/>
            <sz val="8"/>
            <rFont val="Tahoma"/>
            <family val="2"/>
          </rPr>
          <t>Συντάκτης:</t>
        </r>
        <r>
          <rPr>
            <sz val="8"/>
            <rFont val="Tahoma"/>
            <family val="2"/>
          </rPr>
          <t xml:space="preserve">
ΕΙΧΕ ΧΑΛΑΣΕΙ ΤΟ ΡΟΛΟΙ
</t>
        </r>
      </text>
    </comment>
  </commentList>
</comments>
</file>

<file path=xl/sharedStrings.xml><?xml version="1.0" encoding="utf-8"?>
<sst xmlns="http://schemas.openxmlformats.org/spreadsheetml/2006/main" count="976" uniqueCount="109">
  <si>
    <t>DETAILS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</si>
  <si>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</si>
  <si>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</si>
  <si>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</si>
  <si>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</si>
  <si>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</si>
  <si>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</si>
  <si>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</si>
  <si>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</si>
  <si>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</si>
  <si>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</si>
  <si>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</si>
  <si>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</si>
  <si>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ROOMNIGHTS</t>
  </si>
  <si>
    <t>AS PER MANAGEMENT ACCOUNTS</t>
  </si>
  <si>
    <t>BEDNIGHTS</t>
  </si>
  <si>
    <t xml:space="preserve">CONSUMPTION </t>
  </si>
  <si>
    <t>ELECTRICITY</t>
  </si>
  <si>
    <t>Kwh</t>
  </si>
  <si>
    <t>WATER</t>
  </si>
  <si>
    <t>m3</t>
  </si>
  <si>
    <t>FUEL</t>
  </si>
  <si>
    <t>lt</t>
  </si>
  <si>
    <t>LPG</t>
  </si>
  <si>
    <t>CONSUMPTION RATIO</t>
  </si>
  <si>
    <t>m3/PPPD</t>
  </si>
  <si>
    <t>GAZ</t>
  </si>
  <si>
    <t>lt/PPPD</t>
  </si>
  <si>
    <t>ATLANTICA MIKRI POLI CRETE</t>
  </si>
  <si>
    <t>YEAR 2015</t>
  </si>
  <si>
    <t>EURO</t>
  </si>
  <si>
    <t>BUDGET  ELECTRICITY</t>
  </si>
  <si>
    <t>ELECTRICITY + FUEL</t>
  </si>
  <si>
    <t>Kwh/PPPD</t>
  </si>
  <si>
    <t xml:space="preserve">BUDGET WATER </t>
  </si>
  <si>
    <t>TOTAL YEARLY 2015</t>
  </si>
  <si>
    <t>DEI</t>
  </si>
  <si>
    <t xml:space="preserve">ADIAVATOS </t>
  </si>
  <si>
    <t>COMMUNITY OF SITIA</t>
  </si>
  <si>
    <t>TOTAL WATER</t>
  </si>
  <si>
    <t>ADIAVATOS+ COMMUNITY OF SITIA</t>
  </si>
  <si>
    <t>KANAVAKIS-GAS STATION</t>
  </si>
  <si>
    <t>DEI+GAS STATION KANAVAKIS</t>
  </si>
  <si>
    <t>TARGET FOR 2015</t>
  </si>
  <si>
    <t>RESULTS FOR 2014</t>
  </si>
  <si>
    <t>WE DO NOT USE LPG</t>
  </si>
  <si>
    <r>
      <t>kwh/P</t>
    </r>
    <r>
      <rPr>
        <b/>
        <sz val="8"/>
        <rFont val="Trebuchet MS"/>
        <family val="2"/>
      </rPr>
      <t>R</t>
    </r>
    <r>
      <rPr>
        <sz val="8"/>
        <rFont val="Trebuchet MS"/>
        <family val="2"/>
      </rPr>
      <t>PD</t>
    </r>
  </si>
  <si>
    <r>
      <t>lt/P</t>
    </r>
    <r>
      <rPr>
        <b/>
        <sz val="8"/>
        <rFont val="Trebuchet MS"/>
        <family val="2"/>
      </rPr>
      <t>R</t>
    </r>
    <r>
      <rPr>
        <sz val="8"/>
        <rFont val="Trebuchet MS"/>
        <family val="2"/>
      </rPr>
      <t>PD</t>
    </r>
  </si>
  <si>
    <t xml:space="preserve">WELL WATER </t>
  </si>
  <si>
    <t xml:space="preserve">POTABLE WATER </t>
  </si>
  <si>
    <t>WELL WATER +POTABLE WATER</t>
  </si>
  <si>
    <t>BUDGET FUEL</t>
  </si>
  <si>
    <t>YEAR 2016</t>
  </si>
  <si>
    <t>TOTAL YEARLY 2016</t>
  </si>
  <si>
    <t>TARGET FOR 2016</t>
  </si>
  <si>
    <t>RESULTS FOR 2015</t>
  </si>
  <si>
    <t>TARGET FOR 2017</t>
  </si>
  <si>
    <t>TOTAL YEARLY 2017</t>
  </si>
  <si>
    <t>RESULTS FOR 2016</t>
  </si>
  <si>
    <t>YEAR 2017</t>
  </si>
  <si>
    <r>
      <t>kwh/PB</t>
    </r>
    <r>
      <rPr>
        <sz val="8"/>
        <rFont val="Trebuchet MS"/>
        <family val="2"/>
      </rPr>
      <t>PD</t>
    </r>
  </si>
  <si>
    <t>m3/PBPD</t>
  </si>
  <si>
    <r>
      <t>lt/PB</t>
    </r>
    <r>
      <rPr>
        <sz val="8"/>
        <rFont val="Trebuchet MS"/>
        <family val="2"/>
      </rPr>
      <t>PD</t>
    </r>
  </si>
  <si>
    <t>Kwh/PBPD</t>
  </si>
  <si>
    <t>CONSUMPTION/ROOM NIGHTS</t>
  </si>
  <si>
    <t>CONSUMPTION/BED NIGHTS</t>
  </si>
  <si>
    <t>YEAR 2018</t>
  </si>
  <si>
    <t>RESULTS FOR 2017</t>
  </si>
  <si>
    <t>TOTAL YEARLY 2018</t>
  </si>
  <si>
    <t>TARGET FOR 2018</t>
  </si>
  <si>
    <t>YEAR 2019</t>
  </si>
  <si>
    <t>TOTAL YEARLY 2019</t>
  </si>
  <si>
    <t>RESULTS FOR 2018</t>
  </si>
  <si>
    <t>TARGET FOR 2019</t>
  </si>
  <si>
    <t>YEAR 2020</t>
  </si>
  <si>
    <t>TOTAL YEARLY 2020</t>
  </si>
  <si>
    <t>TARGET FOR 2020</t>
  </si>
  <si>
    <t>RESULTS FOR 2019</t>
  </si>
  <si>
    <t>YEAR 2021</t>
  </si>
  <si>
    <t>RESULTS FOR 2020</t>
  </si>
  <si>
    <t>TOTAL YEARLY 2021</t>
  </si>
  <si>
    <t>TARGET FOR 2021</t>
  </si>
  <si>
    <r>
      <t>kwh/P</t>
    </r>
    <r>
      <rPr>
        <b/>
        <sz val="12"/>
        <rFont val="Trebuchet MS"/>
        <family val="2"/>
      </rPr>
      <t>R</t>
    </r>
    <r>
      <rPr>
        <sz val="12"/>
        <rFont val="Trebuchet MS"/>
        <family val="2"/>
      </rPr>
      <t>PD</t>
    </r>
  </si>
  <si>
    <r>
      <t>lt/P</t>
    </r>
    <r>
      <rPr>
        <b/>
        <sz val="12"/>
        <rFont val="Trebuchet MS"/>
        <family val="2"/>
      </rPr>
      <t>R</t>
    </r>
    <r>
      <rPr>
        <sz val="12"/>
        <rFont val="Trebuchet MS"/>
        <family val="2"/>
      </rPr>
      <t>PD</t>
    </r>
  </si>
  <si>
    <t>SOLID WASTE</t>
  </si>
  <si>
    <t>SOLID WASTE Kg</t>
  </si>
  <si>
    <t>PLASTIC WASTE Kg</t>
  </si>
  <si>
    <t>GLASS CRETA ECO PHOENIX Kg</t>
  </si>
  <si>
    <t>USED OIL  Kg</t>
  </si>
  <si>
    <r>
      <t>kwh/P</t>
    </r>
    <r>
      <rPr>
        <b/>
        <sz val="9"/>
        <rFont val="Trebuchet MS"/>
        <family val="2"/>
      </rPr>
      <t>R</t>
    </r>
    <r>
      <rPr>
        <sz val="9"/>
        <rFont val="Trebuchet MS"/>
        <family val="2"/>
      </rPr>
      <t>PD</t>
    </r>
  </si>
  <si>
    <r>
      <t>lt/P</t>
    </r>
    <r>
      <rPr>
        <b/>
        <sz val="9"/>
        <rFont val="Trebuchet MS"/>
        <family val="2"/>
      </rPr>
      <t>R</t>
    </r>
    <r>
      <rPr>
        <sz val="9"/>
        <rFont val="Trebuchet MS"/>
        <family val="2"/>
      </rPr>
      <t>PD</t>
    </r>
  </si>
  <si>
    <t>KG/PRPD</t>
  </si>
  <si>
    <t>KG/PPPD</t>
  </si>
  <si>
    <t>Kg</t>
  </si>
  <si>
    <t xml:space="preserve">USED OIL  </t>
  </si>
  <si>
    <t xml:space="preserve">GLASS CRETA ECO PHOENIX </t>
  </si>
  <si>
    <t xml:space="preserve">PLASTIC WASTE </t>
  </si>
  <si>
    <t>KG/PBPD</t>
  </si>
  <si>
    <t>Kg/PRPD</t>
  </si>
  <si>
    <t>Kg/PBPD</t>
  </si>
  <si>
    <t>YEAR 2022</t>
  </si>
  <si>
    <t>TARGET FOR 2022</t>
  </si>
  <si>
    <t>TOTAL YEARLY 2022</t>
  </si>
  <si>
    <t>m3/PRPD</t>
  </si>
  <si>
    <t>RESULTS FOR 2021</t>
  </si>
  <si>
    <t>YEAR 2023</t>
  </si>
  <si>
    <t>TOTAL YEARLY 2023</t>
  </si>
  <si>
    <t>TARGET FOR 2023</t>
  </si>
  <si>
    <t>RESULTS FOR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</si>
</sst>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£-809]#,##0.00"/>
    <numFmt numFmtId="168" formatCode="[$-408]dddd\,\ d\ mmmm\ yyyy"/>
    <numFmt numFmtId="169" formatCode="[$-408]h:mm:ss\ AM/PM"/>
    <numFmt numFmtId="170" formatCode="#,##0\ &quot;€&quot;"/>
    <numFmt numFmtId="171" formatCode="[$-408]hh:mm:ss\ AM/PM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rebuchet MS"/>
      <family val="2"/>
    </font>
    <font>
      <sz val="10"/>
      <name val="Trebuchet MS"/>
      <family val="2"/>
    </font>
    <font>
      <sz val="5"/>
      <name val="Trebuchet MS"/>
      <family val="2"/>
    </font>
    <font>
      <sz val="8"/>
      <name val="Tahoma"/>
      <family val="2"/>
    </font>
    <font>
      <sz val="9"/>
      <name val="Trebuchet MS"/>
      <family val="2"/>
    </font>
    <font>
      <b/>
      <sz val="8"/>
      <name val="Tahoma"/>
      <family val="2"/>
    </font>
    <font>
      <sz val="7"/>
      <name val="Trebuchet MS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name val="Trebuchet MS"/>
      <family val="2"/>
    </font>
    <font>
      <b/>
      <sz val="8"/>
      <name val="Trebuchet MS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9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3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9"/>
      <name val="Calibri"/>
      <family val="2"/>
    </font>
    <font>
      <b/>
      <sz val="8"/>
      <color indexed="10"/>
      <name val="Trebuchet MS"/>
      <family val="2"/>
    </font>
    <font>
      <sz val="12"/>
      <name val="Calibri"/>
      <family val="2"/>
    </font>
    <font>
      <b/>
      <sz val="12"/>
      <color indexed="10"/>
      <name val="Trebuchet MS"/>
      <family val="2"/>
    </font>
    <font>
      <b/>
      <sz val="9"/>
      <color indexed="10"/>
      <name val="Trebuchet MS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FF0000"/>
      <name val="Trebuchet MS"/>
      <family val="2"/>
    </font>
    <font>
      <b/>
      <sz val="12"/>
      <color rgb="FFFF0000"/>
      <name val="Trebuchet MS"/>
      <family val="2"/>
    </font>
    <font>
      <b/>
      <sz val="9"/>
      <color rgb="FFFF0000"/>
      <name val="Trebuchet MS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31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1" applyNumberFormat="0" applyAlignment="0" applyProtection="0"/>
  </cellStyleXfs>
  <cellXfs count="2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right"/>
    </xf>
    <xf numFmtId="166" fontId="8" fillId="0" borderId="10" xfId="0" applyNumberFormat="1" applyFont="1" applyBorder="1" applyAlignment="1">
      <alignment horizontal="center"/>
    </xf>
    <xf numFmtId="3" fontId="8" fillId="33" borderId="10" xfId="0" applyNumberFormat="1" applyFont="1" applyFill="1" applyBorder="1" applyAlignment="1">
      <alignment horizontal="right"/>
    </xf>
    <xf numFmtId="3" fontId="8" fillId="4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3" fontId="8" fillId="34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2" fontId="8" fillId="34" borderId="11" xfId="0" applyNumberFormat="1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3" fontId="8" fillId="33" borderId="1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166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42" fillId="33" borderId="0" xfId="0" applyFont="1" applyFill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left"/>
    </xf>
    <xf numFmtId="2" fontId="10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42" fillId="0" borderId="10" xfId="0" applyNumberFormat="1" applyFont="1" applyBorder="1" applyAlignment="1">
      <alignment horizontal="center"/>
    </xf>
    <xf numFmtId="167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3" fontId="10" fillId="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2" fontId="42" fillId="33" borderId="13" xfId="0" applyNumberFormat="1" applyFont="1" applyFill="1" applyBorder="1" applyAlignment="1">
      <alignment horizontal="left"/>
    </xf>
    <xf numFmtId="2" fontId="42" fillId="0" borderId="14" xfId="0" applyNumberFormat="1" applyFont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2" fontId="42" fillId="33" borderId="14" xfId="0" applyNumberFormat="1" applyFont="1" applyFill="1" applyBorder="1" applyAlignment="1">
      <alignment horizontal="left"/>
    </xf>
    <xf numFmtId="2" fontId="42" fillId="4" borderId="14" xfId="0" applyNumberFormat="1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2" fontId="42" fillId="34" borderId="14" xfId="0" applyNumberFormat="1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2" fontId="42" fillId="34" borderId="17" xfId="0" applyNumberFormat="1" applyFont="1" applyFill="1" applyBorder="1" applyAlignment="1">
      <alignment horizontal="left"/>
    </xf>
    <xf numFmtId="0" fontId="11" fillId="35" borderId="15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center" wrapText="1"/>
    </xf>
    <xf numFmtId="0" fontId="67" fillId="33" borderId="15" xfId="0" applyFont="1" applyFill="1" applyBorder="1" applyAlignment="1">
      <alignment horizontal="left"/>
    </xf>
    <xf numFmtId="0" fontId="8" fillId="36" borderId="15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166" fontId="10" fillId="33" borderId="10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/>
    </xf>
    <xf numFmtId="166" fontId="13" fillId="33" borderId="10" xfId="0" applyNumberFormat="1" applyFont="1" applyFill="1" applyBorder="1" applyAlignment="1">
      <alignment horizontal="center"/>
    </xf>
    <xf numFmtId="2" fontId="13" fillId="34" borderId="10" xfId="0" applyNumberFormat="1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2" fontId="8" fillId="33" borderId="15" xfId="0" applyNumberFormat="1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right"/>
    </xf>
    <xf numFmtId="2" fontId="10" fillId="33" borderId="1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2" fontId="43" fillId="0" borderId="0" xfId="0" applyNumberFormat="1" applyFont="1" applyBorder="1" applyAlignment="1">
      <alignment wrapText="1"/>
    </xf>
    <xf numFmtId="2" fontId="43" fillId="0" borderId="0" xfId="0" applyNumberFormat="1" applyFont="1" applyBorder="1" applyAlignment="1">
      <alignment/>
    </xf>
    <xf numFmtId="0" fontId="10" fillId="33" borderId="10" xfId="0" applyNumberFormat="1" applyFont="1" applyFill="1" applyBorder="1" applyAlignment="1">
      <alignment horizontal="center"/>
    </xf>
    <xf numFmtId="0" fontId="42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10" fillId="33" borderId="0" xfId="0" applyNumberFormat="1" applyFont="1" applyFill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170" fontId="8" fillId="33" borderId="10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2" fontId="45" fillId="33" borderId="13" xfId="0" applyNumberFormat="1" applyFont="1" applyFill="1" applyBorder="1" applyAlignment="1">
      <alignment horizontal="left"/>
    </xf>
    <xf numFmtId="0" fontId="16" fillId="35" borderId="15" xfId="0" applyFont="1" applyFill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2" fontId="45" fillId="0" borderId="14" xfId="0" applyNumberFormat="1" applyFont="1" applyBorder="1" applyAlignment="1">
      <alignment horizontal="left"/>
    </xf>
    <xf numFmtId="0" fontId="17" fillId="33" borderId="15" xfId="0" applyFont="1" applyFill="1" applyBorder="1" applyAlignment="1">
      <alignment horizontal="left"/>
    </xf>
    <xf numFmtId="0" fontId="17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3" fontId="14" fillId="0" borderId="10" xfId="0" applyNumberFormat="1" applyFont="1" applyBorder="1" applyAlignment="1">
      <alignment horizontal="center"/>
    </xf>
    <xf numFmtId="3" fontId="14" fillId="33" borderId="10" xfId="0" applyNumberFormat="1" applyFont="1" applyFill="1" applyBorder="1" applyAlignment="1">
      <alignment horizontal="center"/>
    </xf>
    <xf numFmtId="3" fontId="15" fillId="33" borderId="10" xfId="0" applyNumberFormat="1" applyFont="1" applyFill="1" applyBorder="1" applyAlignment="1">
      <alignment horizontal="center"/>
    </xf>
    <xf numFmtId="0" fontId="68" fillId="33" borderId="15" xfId="0" applyFont="1" applyFill="1" applyBorder="1" applyAlignment="1">
      <alignment horizontal="left"/>
    </xf>
    <xf numFmtId="166" fontId="45" fillId="0" borderId="10" xfId="0" applyNumberFormat="1" applyFont="1" applyBorder="1" applyAlignment="1">
      <alignment horizontal="center"/>
    </xf>
    <xf numFmtId="167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3" fontId="17" fillId="0" borderId="1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center"/>
    </xf>
    <xf numFmtId="3" fontId="17" fillId="33" borderId="10" xfId="0" applyNumberFormat="1" applyFont="1" applyFill="1" applyBorder="1" applyAlignment="1">
      <alignment horizontal="center"/>
    </xf>
    <xf numFmtId="166" fontId="17" fillId="0" borderId="10" xfId="0" applyNumberFormat="1" applyFont="1" applyBorder="1" applyAlignment="1">
      <alignment horizontal="right"/>
    </xf>
    <xf numFmtId="166" fontId="17" fillId="0" borderId="10" xfId="0" applyNumberFormat="1" applyFont="1" applyBorder="1" applyAlignment="1">
      <alignment horizontal="center"/>
    </xf>
    <xf numFmtId="0" fontId="17" fillId="36" borderId="15" xfId="0" applyFont="1" applyFill="1" applyBorder="1" applyAlignment="1">
      <alignment horizontal="left"/>
    </xf>
    <xf numFmtId="166" fontId="17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3" fontId="17" fillId="33" borderId="10" xfId="0" applyNumberFormat="1" applyFont="1" applyFill="1" applyBorder="1" applyAlignment="1">
      <alignment horizontal="right"/>
    </xf>
    <xf numFmtId="0" fontId="17" fillId="33" borderId="10" xfId="0" applyFont="1" applyFill="1" applyBorder="1" applyAlignment="1">
      <alignment horizontal="right"/>
    </xf>
    <xf numFmtId="2" fontId="45" fillId="33" borderId="14" xfId="0" applyNumberFormat="1" applyFont="1" applyFill="1" applyBorder="1" applyAlignment="1">
      <alignment horizontal="left"/>
    </xf>
    <xf numFmtId="0" fontId="17" fillId="4" borderId="10" xfId="0" applyFont="1" applyFill="1" applyBorder="1" applyAlignment="1">
      <alignment horizontal="center"/>
    </xf>
    <xf numFmtId="3" fontId="17" fillId="4" borderId="10" xfId="0" applyNumberFormat="1" applyFont="1" applyFill="1" applyBorder="1" applyAlignment="1">
      <alignment horizontal="right"/>
    </xf>
    <xf numFmtId="3" fontId="14" fillId="4" borderId="10" xfId="0" applyNumberFormat="1" applyFont="1" applyFill="1" applyBorder="1" applyAlignment="1">
      <alignment horizontal="center"/>
    </xf>
    <xf numFmtId="2" fontId="45" fillId="4" borderId="14" xfId="0" applyNumberFormat="1" applyFont="1" applyFill="1" applyBorder="1" applyAlignment="1">
      <alignment horizontal="left"/>
    </xf>
    <xf numFmtId="166" fontId="17" fillId="33" borderId="10" xfId="0" applyNumberFormat="1" applyFont="1" applyFill="1" applyBorder="1" applyAlignment="1">
      <alignment horizontal="right"/>
    </xf>
    <xf numFmtId="166" fontId="14" fillId="33" borderId="10" xfId="0" applyNumberFormat="1" applyFont="1" applyFill="1" applyBorder="1" applyAlignment="1">
      <alignment horizontal="center"/>
    </xf>
    <xf numFmtId="166" fontId="15" fillId="33" borderId="10" xfId="0" applyNumberFormat="1" applyFont="1" applyFill="1" applyBorder="1" applyAlignment="1">
      <alignment horizontal="center"/>
    </xf>
    <xf numFmtId="0" fontId="17" fillId="34" borderId="15" xfId="0" applyFont="1" applyFill="1" applyBorder="1" applyAlignment="1">
      <alignment horizontal="left"/>
    </xf>
    <xf numFmtId="0" fontId="17" fillId="34" borderId="10" xfId="0" applyFont="1" applyFill="1" applyBorder="1" applyAlignment="1">
      <alignment horizontal="center"/>
    </xf>
    <xf numFmtId="3" fontId="17" fillId="34" borderId="10" xfId="0" applyNumberFormat="1" applyFont="1" applyFill="1" applyBorder="1" applyAlignment="1">
      <alignment horizontal="right"/>
    </xf>
    <xf numFmtId="1" fontId="14" fillId="34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2" fontId="45" fillId="34" borderId="14" xfId="0" applyNumberFormat="1" applyFont="1" applyFill="1" applyBorder="1" applyAlignment="1">
      <alignment horizontal="left"/>
    </xf>
    <xf numFmtId="2" fontId="17" fillId="33" borderId="10" xfId="0" applyNumberFormat="1" applyFont="1" applyFill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0" fontId="17" fillId="0" borderId="15" xfId="0" applyFont="1" applyFill="1" applyBorder="1" applyAlignment="1">
      <alignment horizontal="left"/>
    </xf>
    <xf numFmtId="4" fontId="17" fillId="33" borderId="10" xfId="0" applyNumberFormat="1" applyFont="1" applyFill="1" applyBorder="1" applyAlignment="1">
      <alignment horizontal="right"/>
    </xf>
    <xf numFmtId="4" fontId="14" fillId="33" borderId="10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0" fontId="41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18" fillId="35" borderId="15" xfId="0" applyFont="1" applyFill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19" fillId="35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2" fontId="43" fillId="0" borderId="14" xfId="0" applyNumberFormat="1" applyFont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3" fontId="20" fillId="33" borderId="10" xfId="0" applyNumberFormat="1" applyFont="1" applyFill="1" applyBorder="1" applyAlignment="1">
      <alignment horizontal="center"/>
    </xf>
    <xf numFmtId="0" fontId="69" fillId="33" borderId="15" xfId="0" applyFont="1" applyFill="1" applyBorder="1" applyAlignment="1">
      <alignment horizontal="left"/>
    </xf>
    <xf numFmtId="166" fontId="43" fillId="0" borderId="10" xfId="0" applyNumberFormat="1" applyFont="1" applyBorder="1" applyAlignment="1">
      <alignment horizontal="center"/>
    </xf>
    <xf numFmtId="167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center"/>
    </xf>
    <xf numFmtId="44" fontId="6" fillId="0" borderId="10" xfId="0" applyNumberFormat="1" applyFont="1" applyBorder="1" applyAlignment="1">
      <alignment horizontal="center"/>
    </xf>
    <xf numFmtId="44" fontId="6" fillId="33" borderId="10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left"/>
    </xf>
    <xf numFmtId="166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2" fontId="43" fillId="33" borderId="14" xfId="0" applyNumberFormat="1" applyFont="1" applyFill="1" applyBorder="1" applyAlignment="1">
      <alignment horizontal="left"/>
    </xf>
    <xf numFmtId="3" fontId="6" fillId="4" borderId="10" xfId="0" applyNumberFormat="1" applyFont="1" applyFill="1" applyBorder="1" applyAlignment="1">
      <alignment horizontal="right"/>
    </xf>
    <xf numFmtId="3" fontId="19" fillId="4" borderId="10" xfId="0" applyNumberFormat="1" applyFont="1" applyFill="1" applyBorder="1" applyAlignment="1">
      <alignment horizontal="center"/>
    </xf>
    <xf numFmtId="2" fontId="43" fillId="4" borderId="14" xfId="0" applyNumberFormat="1" applyFont="1" applyFill="1" applyBorder="1" applyAlignment="1">
      <alignment horizontal="left"/>
    </xf>
    <xf numFmtId="166" fontId="6" fillId="33" borderId="10" xfId="0" applyNumberFormat="1" applyFont="1" applyFill="1" applyBorder="1" applyAlignment="1">
      <alignment horizontal="right"/>
    </xf>
    <xf numFmtId="166" fontId="19" fillId="33" borderId="10" xfId="0" applyNumberFormat="1" applyFont="1" applyFill="1" applyBorder="1" applyAlignment="1">
      <alignment horizontal="center"/>
    </xf>
    <xf numFmtId="166" fontId="20" fillId="33" borderId="1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9" fillId="33" borderId="10" xfId="0" applyNumberFormat="1" applyFont="1" applyFill="1" applyBorder="1" applyAlignment="1">
      <alignment horizontal="center"/>
    </xf>
    <xf numFmtId="4" fontId="18" fillId="33" borderId="10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left"/>
    </xf>
    <xf numFmtId="3" fontId="6" fillId="34" borderId="10" xfId="0" applyNumberFormat="1" applyFont="1" applyFill="1" applyBorder="1" applyAlignment="1">
      <alignment horizontal="right"/>
    </xf>
    <xf numFmtId="1" fontId="19" fillId="34" borderId="10" xfId="0" applyNumberFormat="1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/>
    </xf>
    <xf numFmtId="2" fontId="43" fillId="34" borderId="14" xfId="0" applyNumberFormat="1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6" fillId="34" borderId="18" xfId="0" applyFont="1" applyFill="1" applyBorder="1" applyAlignment="1">
      <alignment horizontal="left"/>
    </xf>
    <xf numFmtId="2" fontId="6" fillId="34" borderId="19" xfId="0" applyNumberFormat="1" applyFont="1" applyFill="1" applyBorder="1" applyAlignment="1">
      <alignment horizontal="center"/>
    </xf>
    <xf numFmtId="2" fontId="43" fillId="34" borderId="20" xfId="0" applyNumberFormat="1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0" fontId="17" fillId="34" borderId="18" xfId="0" applyFont="1" applyFill="1" applyBorder="1" applyAlignment="1">
      <alignment horizontal="left"/>
    </xf>
    <xf numFmtId="0" fontId="17" fillId="34" borderId="19" xfId="0" applyFont="1" applyFill="1" applyBorder="1" applyAlignment="1">
      <alignment horizontal="center"/>
    </xf>
    <xf numFmtId="2" fontId="17" fillId="34" borderId="19" xfId="0" applyNumberFormat="1" applyFont="1" applyFill="1" applyBorder="1" applyAlignment="1">
      <alignment horizontal="center"/>
    </xf>
    <xf numFmtId="2" fontId="45" fillId="34" borderId="20" xfId="0" applyNumberFormat="1" applyFont="1" applyFill="1" applyBorder="1" applyAlignment="1">
      <alignment horizontal="left"/>
    </xf>
    <xf numFmtId="0" fontId="17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6" fontId="13" fillId="0" borderId="10" xfId="0" applyNumberFormat="1" applyFont="1" applyFill="1" applyBorder="1" applyAlignment="1">
      <alignment horizontal="center"/>
    </xf>
    <xf numFmtId="2" fontId="42" fillId="0" borderId="14" xfId="0" applyNumberFormat="1" applyFont="1" applyFill="1" applyBorder="1" applyAlignment="1">
      <alignment horizontal="left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42" fillId="33" borderId="20" xfId="0" applyNumberFormat="1" applyFont="1" applyFill="1" applyBorder="1" applyAlignment="1">
      <alignment horizontal="left"/>
    </xf>
    <xf numFmtId="0" fontId="67" fillId="33" borderId="2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2" fontId="42" fillId="33" borderId="10" xfId="0" applyNumberFormat="1" applyFont="1" applyFill="1" applyBorder="1" applyAlignment="1">
      <alignment horizontal="left"/>
    </xf>
    <xf numFmtId="2" fontId="42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66" fontId="8" fillId="36" borderId="10" xfId="0" applyNumberFormat="1" applyFont="1" applyFill="1" applyBorder="1" applyAlignment="1">
      <alignment horizontal="right"/>
    </xf>
    <xf numFmtId="166" fontId="8" fillId="36" borderId="10" xfId="0" applyNumberFormat="1" applyFont="1" applyFill="1" applyBorder="1" applyAlignment="1">
      <alignment horizontal="center"/>
    </xf>
    <xf numFmtId="166" fontId="10" fillId="36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4" fillId="33" borderId="22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7" fillId="0" borderId="10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Electricity Consumption during January - August 2021</a:t>
            </a:r>
          </a:p>
        </c:rich>
      </c:tx>
      <c:layout>
        <c:manualLayout>
          <c:xMode val="factor"/>
          <c:yMode val="factor"/>
          <c:x val="0.113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20275"/>
          <c:w val="0.90925"/>
          <c:h val="0.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'TRAVELIFE CONSUPTION 2021'!$B$6</c:f>
              <c:strCache>
                <c:ptCount val="1"/>
                <c:pt idx="0">
                  <c:v>Kwh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2021'!$C$6:$J$6</c:f>
              <c:numCache>
                <c:ptCount val="8"/>
                <c:pt idx="0">
                  <c:v>20199</c:v>
                </c:pt>
                <c:pt idx="1">
                  <c:v>40995</c:v>
                </c:pt>
                <c:pt idx="2">
                  <c:v>29104</c:v>
                </c:pt>
                <c:pt idx="3">
                  <c:v>26057</c:v>
                </c:pt>
                <c:pt idx="4">
                  <c:v>52811</c:v>
                </c:pt>
                <c:pt idx="5">
                  <c:v>190824</c:v>
                </c:pt>
                <c:pt idx="6">
                  <c:v>339514</c:v>
                </c:pt>
                <c:pt idx="7">
                  <c:v>380805</c:v>
                </c:pt>
              </c:numCache>
            </c:numRef>
          </c:val>
        </c:ser>
        <c:ser>
          <c:idx val="1"/>
          <c:order val="1"/>
          <c:tx>
            <c:strRef>
              <c:f>'TRAVELIFE CONSUPTION 2021'!$B$7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2021'!$C$7:$J$7</c:f>
              <c:numCache>
                <c:ptCount val="8"/>
                <c:pt idx="0">
                  <c:v>2075.8</c:v>
                </c:pt>
                <c:pt idx="1">
                  <c:v>4498</c:v>
                </c:pt>
                <c:pt idx="2">
                  <c:v>3304.93</c:v>
                </c:pt>
                <c:pt idx="3">
                  <c:v>2855.1</c:v>
                </c:pt>
                <c:pt idx="4">
                  <c:v>5990</c:v>
                </c:pt>
                <c:pt idx="5">
                  <c:v>20827</c:v>
                </c:pt>
                <c:pt idx="6">
                  <c:v>39709</c:v>
                </c:pt>
                <c:pt idx="7">
                  <c:v>44627.62</c:v>
                </c:pt>
              </c:numCache>
            </c:numRef>
          </c:val>
        </c:ser>
        <c:overlap val="-27"/>
        <c:gapWidth val="219"/>
        <c:axId val="3265326"/>
        <c:axId val="29387935"/>
      </c:barChart>
      <c:catAx>
        <c:axId val="3265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387935"/>
        <c:crosses val="autoZero"/>
        <c:auto val="0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Consumption in Euro/Kwh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53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75"/>
          <c:y val="0.917"/>
          <c:w val="0.1342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Consumption of Well Water + Potable Water (in m3)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9"/>
          <c:w val="0.95725"/>
          <c:h val="0.8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'TRAVELIFE CONSUPTION 2021'!$B$11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2021'!$C$11:$J$11</c:f>
              <c:numCache>
                <c:ptCount val="8"/>
                <c:pt idx="0">
                  <c:v>0</c:v>
                </c:pt>
                <c:pt idx="1">
                  <c:v>92</c:v>
                </c:pt>
                <c:pt idx="2">
                  <c:v>92</c:v>
                </c:pt>
                <c:pt idx="3">
                  <c:v>71</c:v>
                </c:pt>
                <c:pt idx="4">
                  <c:v>2729</c:v>
                </c:pt>
                <c:pt idx="5">
                  <c:v>960</c:v>
                </c:pt>
                <c:pt idx="6">
                  <c:v>9915</c:v>
                </c:pt>
                <c:pt idx="7">
                  <c:v>9980</c:v>
                </c:pt>
              </c:numCache>
            </c:numRef>
          </c:val>
        </c:ser>
        <c:gapWidth val="182"/>
        <c:axId val="63164824"/>
        <c:axId val="31612505"/>
      </c:barChart>
      <c:catAx>
        <c:axId val="631648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164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Fuel in litres/Kwh/Euro + Electricity and Fuel (in Kwh) Consumptions / per room nights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435"/>
          <c:w val="0.956"/>
          <c:h val="0.62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'TRAVELIFE CONSUPTION 2021'!$B$13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2021'!$C$13:$J$13</c:f>
              <c:numCache>
                <c:ptCount val="8"/>
                <c:pt idx="0">
                  <c:v>0</c:v>
                </c:pt>
                <c:pt idx="1">
                  <c:v>36.63</c:v>
                </c:pt>
                <c:pt idx="2">
                  <c:v>64.91</c:v>
                </c:pt>
                <c:pt idx="3">
                  <c:v>73</c:v>
                </c:pt>
                <c:pt idx="4">
                  <c:v>88</c:v>
                </c:pt>
                <c:pt idx="5">
                  <c:v>636.63</c:v>
                </c:pt>
                <c:pt idx="6">
                  <c:v>458.38</c:v>
                </c:pt>
                <c:pt idx="7">
                  <c:v>136.06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'TRAVELIFE CONSUPTION 2021'!$B$14</c:f>
              <c:strCache>
                <c:ptCount val="1"/>
                <c:pt idx="0">
                  <c:v>Kwh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2021'!$C$14:$J$14</c:f>
              <c:numCache>
                <c:ptCount val="8"/>
                <c:pt idx="0">
                  <c:v>0</c:v>
                </c:pt>
                <c:pt idx="1">
                  <c:v>383.40621000000004</c:v>
                </c:pt>
                <c:pt idx="2">
                  <c:v>679.41297</c:v>
                </c:pt>
                <c:pt idx="3">
                  <c:v>764.091</c:v>
                </c:pt>
                <c:pt idx="4">
                  <c:v>921.096</c:v>
                </c:pt>
                <c:pt idx="5">
                  <c:v>6663.60621</c:v>
                </c:pt>
                <c:pt idx="6">
                  <c:v>4797.8634600000005</c:v>
                </c:pt>
                <c:pt idx="7">
                  <c:v>1424.14002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'TRAVELIFE CONSUPTION 2021'!$B$15</c:f>
              <c:strCache>
                <c:ptCount val="1"/>
                <c:pt idx="0">
                  <c:v>Kwh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2021'!$C$15:$J$15</c:f>
              <c:numCache>
                <c:ptCount val="8"/>
                <c:pt idx="0">
                  <c:v>20199</c:v>
                </c:pt>
                <c:pt idx="1">
                  <c:v>41378.40621</c:v>
                </c:pt>
                <c:pt idx="2">
                  <c:v>29783.41297</c:v>
                </c:pt>
                <c:pt idx="3">
                  <c:v>26821.091</c:v>
                </c:pt>
                <c:pt idx="4">
                  <c:v>53732.096</c:v>
                </c:pt>
                <c:pt idx="5">
                  <c:v>197487.60621</c:v>
                </c:pt>
                <c:pt idx="6">
                  <c:v>344311.86346</c:v>
                </c:pt>
                <c:pt idx="7">
                  <c:v>382229.14002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'TRAVELIFE CONSUPTION 2021'!$B$16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2021'!$C$16:$J$16</c:f>
              <c:numCache>
                <c:ptCount val="8"/>
                <c:pt idx="0">
                  <c:v>0</c:v>
                </c:pt>
                <c:pt idx="1">
                  <c:v>45.0549</c:v>
                </c:pt>
                <c:pt idx="2">
                  <c:v>79.8393</c:v>
                </c:pt>
                <c:pt idx="3">
                  <c:v>89.78999999999999</c:v>
                </c:pt>
                <c:pt idx="4">
                  <c:v>108.24</c:v>
                </c:pt>
                <c:pt idx="5">
                  <c:v>783.0549</c:v>
                </c:pt>
                <c:pt idx="6">
                  <c:v>595.894</c:v>
                </c:pt>
                <c:pt idx="7">
                  <c:v>176.87800000000001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'TRAVELIFE CONSUPTION 2021'!$C$2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2021'!$D$2:$J$2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6077090"/>
        <c:axId val="10476083"/>
        <c:axId val="27175884"/>
      </c:bar3D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077090"/>
        <c:crossesAt val="1"/>
        <c:crossBetween val="between"/>
        <c:dispUnits/>
      </c:valAx>
      <c:serAx>
        <c:axId val="27175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47608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1675"/>
          <c:w val="0.287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Electricity Consumption during January - August 2021</a:t>
            </a:r>
          </a:p>
        </c:rich>
      </c:tx>
      <c:layout>
        <c:manualLayout>
          <c:xMode val="factor"/>
          <c:yMode val="factor"/>
          <c:x val="0.11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20825"/>
          <c:w val="0.9095"/>
          <c:h val="0.5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'TRAVELIFE CONSUPTION 2021'!$B$6</c:f>
              <c:strCache>
                <c:ptCount val="1"/>
                <c:pt idx="0">
                  <c:v>Kwh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2021'!$C$6:$J$6</c:f>
              <c:numCache>
                <c:ptCount val="8"/>
                <c:pt idx="0">
                  <c:v>20199</c:v>
                </c:pt>
                <c:pt idx="1">
                  <c:v>40995</c:v>
                </c:pt>
                <c:pt idx="2">
                  <c:v>29104</c:v>
                </c:pt>
                <c:pt idx="3">
                  <c:v>26057</c:v>
                </c:pt>
                <c:pt idx="4">
                  <c:v>52811</c:v>
                </c:pt>
                <c:pt idx="5">
                  <c:v>190824</c:v>
                </c:pt>
                <c:pt idx="6">
                  <c:v>339514</c:v>
                </c:pt>
                <c:pt idx="7">
                  <c:v>380805</c:v>
                </c:pt>
              </c:numCache>
            </c:numRef>
          </c:val>
        </c:ser>
        <c:ser>
          <c:idx val="1"/>
          <c:order val="1"/>
          <c:tx>
            <c:strRef>
              <c:f>'TRAVELIFE CONSUPTION 2021'!$B$7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2021'!$C$7:$J$7</c:f>
              <c:numCache>
                <c:ptCount val="8"/>
                <c:pt idx="0">
                  <c:v>2075.8</c:v>
                </c:pt>
                <c:pt idx="1">
                  <c:v>4498</c:v>
                </c:pt>
                <c:pt idx="2">
                  <c:v>3304.93</c:v>
                </c:pt>
                <c:pt idx="3">
                  <c:v>2855.1</c:v>
                </c:pt>
                <c:pt idx="4">
                  <c:v>5990</c:v>
                </c:pt>
                <c:pt idx="5">
                  <c:v>20827</c:v>
                </c:pt>
                <c:pt idx="6">
                  <c:v>39709</c:v>
                </c:pt>
                <c:pt idx="7">
                  <c:v>44627.62</c:v>
                </c:pt>
              </c:numCache>
            </c:numRef>
          </c:val>
        </c:ser>
        <c:overlap val="-27"/>
        <c:gapWidth val="219"/>
        <c:axId val="43256365"/>
        <c:axId val="53762966"/>
      </c:barChart>
      <c:catAx>
        <c:axId val="4325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762966"/>
        <c:crosses val="autoZero"/>
        <c:auto val="0"/>
        <c:lblOffset val="100"/>
        <c:tickLblSkip val="1"/>
        <c:noMultiLvlLbl val="0"/>
      </c:catAx>
      <c:valAx>
        <c:axId val="537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Consumption in Euro/Kwh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563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75"/>
          <c:y val="0.91475"/>
          <c:w val="0.134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Consumption of Well Water + Potable Water (in m3)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215"/>
          <c:w val="0.97125"/>
          <c:h val="0.8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'TRAVELIFE CONSUPTION 2021'!$B$11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2021'!$C$11:$J$11</c:f>
              <c:numCache>
                <c:ptCount val="8"/>
                <c:pt idx="0">
                  <c:v>0</c:v>
                </c:pt>
                <c:pt idx="1">
                  <c:v>92</c:v>
                </c:pt>
                <c:pt idx="2">
                  <c:v>92</c:v>
                </c:pt>
                <c:pt idx="3">
                  <c:v>71</c:v>
                </c:pt>
                <c:pt idx="4">
                  <c:v>2729</c:v>
                </c:pt>
                <c:pt idx="5">
                  <c:v>960</c:v>
                </c:pt>
                <c:pt idx="6">
                  <c:v>9915</c:v>
                </c:pt>
                <c:pt idx="7">
                  <c:v>9980</c:v>
                </c:pt>
              </c:numCache>
            </c:numRef>
          </c:val>
        </c:ser>
        <c:gapWidth val="182"/>
        <c:axId val="14104647"/>
        <c:axId val="59832960"/>
      </c:barChart>
      <c:catAx>
        <c:axId val="141046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104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Fuel in litres/Kwh/Euro + Electricity and Fuel (in Kwh) Consumptions / per room nights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49"/>
          <c:w val="0.95625"/>
          <c:h val="0.61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'TRAVELIFE CONSUPTION 2021'!$B$13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2021'!$C$13:$J$13</c:f>
              <c:numCache>
                <c:ptCount val="8"/>
                <c:pt idx="0">
                  <c:v>0</c:v>
                </c:pt>
                <c:pt idx="1">
                  <c:v>36.63</c:v>
                </c:pt>
                <c:pt idx="2">
                  <c:v>64.91</c:v>
                </c:pt>
                <c:pt idx="3">
                  <c:v>73</c:v>
                </c:pt>
                <c:pt idx="4">
                  <c:v>88</c:v>
                </c:pt>
                <c:pt idx="5">
                  <c:v>636.63</c:v>
                </c:pt>
                <c:pt idx="6">
                  <c:v>458.38</c:v>
                </c:pt>
                <c:pt idx="7">
                  <c:v>136.06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'TRAVELIFE CONSUPTION 2021'!$B$14</c:f>
              <c:strCache>
                <c:ptCount val="1"/>
                <c:pt idx="0">
                  <c:v>Kwh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2021'!$C$14:$J$14</c:f>
              <c:numCache>
                <c:ptCount val="8"/>
                <c:pt idx="0">
                  <c:v>0</c:v>
                </c:pt>
                <c:pt idx="1">
                  <c:v>383.40621000000004</c:v>
                </c:pt>
                <c:pt idx="2">
                  <c:v>679.41297</c:v>
                </c:pt>
                <c:pt idx="3">
                  <c:v>764.091</c:v>
                </c:pt>
                <c:pt idx="4">
                  <c:v>921.096</c:v>
                </c:pt>
                <c:pt idx="5">
                  <c:v>6663.60621</c:v>
                </c:pt>
                <c:pt idx="6">
                  <c:v>4797.8634600000005</c:v>
                </c:pt>
                <c:pt idx="7">
                  <c:v>1424.14002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'TRAVELIFE CONSUPTION 2021'!$B$15</c:f>
              <c:strCache>
                <c:ptCount val="1"/>
                <c:pt idx="0">
                  <c:v>Kwh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2021'!$C$15:$J$15</c:f>
              <c:numCache>
                <c:ptCount val="8"/>
                <c:pt idx="0">
                  <c:v>20199</c:v>
                </c:pt>
                <c:pt idx="1">
                  <c:v>41378.40621</c:v>
                </c:pt>
                <c:pt idx="2">
                  <c:v>29783.41297</c:v>
                </c:pt>
                <c:pt idx="3">
                  <c:v>26821.091</c:v>
                </c:pt>
                <c:pt idx="4">
                  <c:v>53732.096</c:v>
                </c:pt>
                <c:pt idx="5">
                  <c:v>197487.60621</c:v>
                </c:pt>
                <c:pt idx="6">
                  <c:v>344311.86346</c:v>
                </c:pt>
                <c:pt idx="7">
                  <c:v>382229.14002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'TRAVELIFE CONSUPTION 2021'!$B$16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2021'!$C$16:$J$16</c:f>
              <c:numCache>
                <c:ptCount val="8"/>
                <c:pt idx="0">
                  <c:v>0</c:v>
                </c:pt>
                <c:pt idx="1">
                  <c:v>45.0549</c:v>
                </c:pt>
                <c:pt idx="2">
                  <c:v>79.8393</c:v>
                </c:pt>
                <c:pt idx="3">
                  <c:v>89.78999999999999</c:v>
                </c:pt>
                <c:pt idx="4">
                  <c:v>108.24</c:v>
                </c:pt>
                <c:pt idx="5">
                  <c:v>783.0549</c:v>
                </c:pt>
                <c:pt idx="6">
                  <c:v>595.894</c:v>
                </c:pt>
                <c:pt idx="7">
                  <c:v>176.87800000000001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'TRAVELIFE CONSUPTION 2021'!$C$2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2021'!$D$2:$J$2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1625729"/>
        <c:axId val="14631562"/>
        <c:axId val="64575195"/>
      </c:bar3DChart>
      <c:catAx>
        <c:axId val="1625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25729"/>
        <c:crossesAt val="1"/>
        <c:crossBetween val="between"/>
        <c:dispUnits/>
      </c:valAx>
      <c:serAx>
        <c:axId val="64575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63156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1475"/>
          <c:w val="0.2872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Electricity Consumption during January - August 2021</a:t>
            </a:r>
          </a:p>
        </c:rich>
      </c:tx>
      <c:layout>
        <c:manualLayout>
          <c:xMode val="factor"/>
          <c:yMode val="factor"/>
          <c:x val="0.11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015"/>
          <c:w val="0.90925"/>
          <c:h val="0.6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'TRAVELIFE CONSUPTION 2021'!$B$6</c:f>
              <c:strCache>
                <c:ptCount val="1"/>
                <c:pt idx="0">
                  <c:v>Kwh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2021'!$C$6:$J$6</c:f>
              <c:numCache/>
            </c:numRef>
          </c:val>
        </c:ser>
        <c:ser>
          <c:idx val="1"/>
          <c:order val="1"/>
          <c:tx>
            <c:strRef>
              <c:f>'TRAVELIFE CONSUPTION 2021'!$B$7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2021'!$C$7:$J$7</c:f>
              <c:numCache/>
            </c:numRef>
          </c:val>
        </c:ser>
        <c:overlap val="-27"/>
        <c:gapWidth val="219"/>
        <c:axId val="44305844"/>
        <c:axId val="63208277"/>
      </c:barChart>
      <c:catAx>
        <c:axId val="4430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08277"/>
        <c:crosses val="autoZero"/>
        <c:auto val="0"/>
        <c:lblOffset val="100"/>
        <c:tickLblSkip val="1"/>
        <c:noMultiLvlLbl val="0"/>
      </c:catAx>
      <c:valAx>
        <c:axId val="63208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Consumption in Euro/Kwh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305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75"/>
          <c:y val="0.9175"/>
          <c:w val="0.134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Consumption of Well Water + Potable Water (in m3)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6575"/>
          <c:w val="0.97175"/>
          <c:h val="0.77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'TRAVELIFE CONSUPTION 2021'!$B$11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2021'!$C$11:$J$11</c:f>
              <c:numCache/>
            </c:numRef>
          </c:val>
        </c:ser>
        <c:gapWidth val="182"/>
        <c:axId val="32003582"/>
        <c:axId val="19596783"/>
      </c:barChart>
      <c:catAx>
        <c:axId val="320035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003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Fuel in litres/Kwh/Euro + Electricity and Fuel (in Kwh) Consumptions / per room nights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41"/>
          <c:w val="0.95625"/>
          <c:h val="0.6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'TRAVELIFE CONSUPTION 2021'!$B$13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2021'!$C$13:$J$13</c:f>
              <c:numCache/>
            </c:numRef>
          </c:val>
          <c:shape val="box"/>
        </c:ser>
        <c:ser>
          <c:idx val="1"/>
          <c:order val="1"/>
          <c:tx>
            <c:strRef>
              <c:f>'TRAVELIFE CONSUPTION 2021'!$B$14</c:f>
              <c:strCache>
                <c:ptCount val="1"/>
                <c:pt idx="0">
                  <c:v>Kwh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2021'!$C$14:$J$14</c:f>
              <c:numCache/>
            </c:numRef>
          </c:val>
          <c:shape val="box"/>
        </c:ser>
        <c:ser>
          <c:idx val="2"/>
          <c:order val="2"/>
          <c:tx>
            <c:strRef>
              <c:f>'TRAVELIFE CONSUPTION 2021'!$B$15</c:f>
              <c:strCache>
                <c:ptCount val="1"/>
                <c:pt idx="0">
                  <c:v>Kwh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2021'!$C$15:$J$15</c:f>
              <c:numCache/>
            </c:numRef>
          </c:val>
          <c:shape val="box"/>
        </c:ser>
        <c:ser>
          <c:idx val="3"/>
          <c:order val="3"/>
          <c:tx>
            <c:strRef>
              <c:f>'TRAVELIFE CONSUPTION 2021'!$B$16</c:f>
              <c:strCache>
                <c:ptCount val="1"/>
                <c:pt idx="0">
                  <c:v>EURO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2021'!$C$16:$J$16</c:f>
              <c:numCache/>
            </c:numRef>
          </c:val>
          <c:shape val="box"/>
        </c:ser>
        <c:ser>
          <c:idx val="4"/>
          <c:order val="4"/>
          <c:tx>
            <c:strRef>
              <c:f>'TRAVELIFE CONSUPTION 2021'!$C$2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'TRAVELIFE CONSUPTION 2021'!$D$2:$J$2</c:f>
              <c:numCache/>
            </c:numRef>
          </c:val>
          <c:shape val="box"/>
        </c:ser>
        <c:shape val="box"/>
        <c:axId val="42153320"/>
        <c:axId val="43835561"/>
        <c:axId val="58975730"/>
      </c:bar3D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835561"/>
        <c:crosses val="autoZero"/>
        <c:auto val="1"/>
        <c:lblOffset val="100"/>
        <c:tickLblSkip val="1"/>
        <c:noMultiLvlLbl val="0"/>
      </c:catAx>
      <c:valAx>
        <c:axId val="43835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53320"/>
        <c:crossesAt val="1"/>
        <c:crossBetween val="between"/>
        <c:dispUnits/>
      </c:valAx>
      <c:serAx>
        <c:axId val="58975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83556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175"/>
          <c:w val="0.287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33</xdr:row>
      <xdr:rowOff>0</xdr:rowOff>
    </xdr:from>
    <xdr:ext cx="1323975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2981325" y="6753225"/>
          <a:ext cx="1323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132397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981325" y="6753225"/>
          <a:ext cx="1323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1323975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2981325" y="6753225"/>
          <a:ext cx="1323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41</xdr:row>
      <xdr:rowOff>28575</xdr:rowOff>
    </xdr:from>
    <xdr:to>
      <xdr:col>7</xdr:col>
      <xdr:colOff>371475</xdr:colOff>
      <xdr:row>55</xdr:row>
      <xdr:rowOff>57150</xdr:rowOff>
    </xdr:to>
    <xdr:graphicFrame>
      <xdr:nvGraphicFramePr>
        <xdr:cNvPr id="4" name="Chart 4"/>
        <xdr:cNvGraphicFramePr/>
      </xdr:nvGraphicFramePr>
      <xdr:xfrm>
        <a:off x="0" y="8439150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41</xdr:row>
      <xdr:rowOff>28575</xdr:rowOff>
    </xdr:from>
    <xdr:to>
      <xdr:col>17</xdr:col>
      <xdr:colOff>419100</xdr:colOff>
      <xdr:row>55</xdr:row>
      <xdr:rowOff>66675</xdr:rowOff>
    </xdr:to>
    <xdr:graphicFrame>
      <xdr:nvGraphicFramePr>
        <xdr:cNvPr id="5" name="Chart 5"/>
        <xdr:cNvGraphicFramePr/>
      </xdr:nvGraphicFramePr>
      <xdr:xfrm>
        <a:off x="4667250" y="8439150"/>
        <a:ext cx="60579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114300</xdr:rowOff>
    </xdr:from>
    <xdr:to>
      <xdr:col>7</xdr:col>
      <xdr:colOff>371475</xdr:colOff>
      <xdr:row>69</xdr:row>
      <xdr:rowOff>142875</xdr:rowOff>
    </xdr:to>
    <xdr:graphicFrame>
      <xdr:nvGraphicFramePr>
        <xdr:cNvPr id="6" name="Chart 6"/>
        <xdr:cNvGraphicFramePr/>
      </xdr:nvGraphicFramePr>
      <xdr:xfrm>
        <a:off x="0" y="11191875"/>
        <a:ext cx="45720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33</xdr:row>
      <xdr:rowOff>0</xdr:rowOff>
    </xdr:from>
    <xdr:ext cx="1600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2981325" y="6753225"/>
          <a:ext cx="1600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160020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981325" y="6753225"/>
          <a:ext cx="1600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1600200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2981325" y="6753225"/>
          <a:ext cx="1600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41</xdr:row>
      <xdr:rowOff>28575</xdr:rowOff>
    </xdr:from>
    <xdr:to>
      <xdr:col>7</xdr:col>
      <xdr:colOff>371475</xdr:colOff>
      <xdr:row>55</xdr:row>
      <xdr:rowOff>57150</xdr:rowOff>
    </xdr:to>
    <xdr:graphicFrame>
      <xdr:nvGraphicFramePr>
        <xdr:cNvPr id="4" name="Chart 4"/>
        <xdr:cNvGraphicFramePr/>
      </xdr:nvGraphicFramePr>
      <xdr:xfrm>
        <a:off x="0" y="8439150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41</xdr:row>
      <xdr:rowOff>28575</xdr:rowOff>
    </xdr:from>
    <xdr:to>
      <xdr:col>16</xdr:col>
      <xdr:colOff>419100</xdr:colOff>
      <xdr:row>55</xdr:row>
      <xdr:rowOff>66675</xdr:rowOff>
    </xdr:to>
    <xdr:graphicFrame>
      <xdr:nvGraphicFramePr>
        <xdr:cNvPr id="5" name="Chart 5"/>
        <xdr:cNvGraphicFramePr/>
      </xdr:nvGraphicFramePr>
      <xdr:xfrm>
        <a:off x="4667250" y="8439150"/>
        <a:ext cx="53721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114300</xdr:rowOff>
    </xdr:from>
    <xdr:to>
      <xdr:col>7</xdr:col>
      <xdr:colOff>371475</xdr:colOff>
      <xdr:row>69</xdr:row>
      <xdr:rowOff>142875</xdr:rowOff>
    </xdr:to>
    <xdr:graphicFrame>
      <xdr:nvGraphicFramePr>
        <xdr:cNvPr id="6" name="Chart 6"/>
        <xdr:cNvGraphicFramePr/>
      </xdr:nvGraphicFramePr>
      <xdr:xfrm>
        <a:off x="0" y="11191875"/>
        <a:ext cx="45720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33</xdr:row>
      <xdr:rowOff>0</xdr:rowOff>
    </xdr:from>
    <xdr:ext cx="1876425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2981325" y="6753225"/>
          <a:ext cx="1876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18764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981325" y="6753225"/>
          <a:ext cx="1876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1876425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2981325" y="6753225"/>
          <a:ext cx="18764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0</xdr:colOff>
      <xdr:row>41</xdr:row>
      <xdr:rowOff>28575</xdr:rowOff>
    </xdr:from>
    <xdr:to>
      <xdr:col>7</xdr:col>
      <xdr:colOff>371475</xdr:colOff>
      <xdr:row>55</xdr:row>
      <xdr:rowOff>57150</xdr:rowOff>
    </xdr:to>
    <xdr:graphicFrame>
      <xdr:nvGraphicFramePr>
        <xdr:cNvPr id="4" name="Chart 4"/>
        <xdr:cNvGraphicFramePr/>
      </xdr:nvGraphicFramePr>
      <xdr:xfrm>
        <a:off x="0" y="8439150"/>
        <a:ext cx="45720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41</xdr:row>
      <xdr:rowOff>28575</xdr:rowOff>
    </xdr:from>
    <xdr:to>
      <xdr:col>15</xdr:col>
      <xdr:colOff>419100</xdr:colOff>
      <xdr:row>55</xdr:row>
      <xdr:rowOff>66675</xdr:rowOff>
    </xdr:to>
    <xdr:graphicFrame>
      <xdr:nvGraphicFramePr>
        <xdr:cNvPr id="5" name="Chart 5"/>
        <xdr:cNvGraphicFramePr/>
      </xdr:nvGraphicFramePr>
      <xdr:xfrm>
        <a:off x="4667250" y="8439150"/>
        <a:ext cx="4714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114300</xdr:rowOff>
    </xdr:from>
    <xdr:to>
      <xdr:col>7</xdr:col>
      <xdr:colOff>371475</xdr:colOff>
      <xdr:row>69</xdr:row>
      <xdr:rowOff>142875</xdr:rowOff>
    </xdr:to>
    <xdr:graphicFrame>
      <xdr:nvGraphicFramePr>
        <xdr:cNvPr id="6" name="Chart 6"/>
        <xdr:cNvGraphicFramePr/>
      </xdr:nvGraphicFramePr>
      <xdr:xfrm>
        <a:off x="0" y="11191875"/>
        <a:ext cx="45720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33</xdr:row>
      <xdr:rowOff>0</xdr:rowOff>
    </xdr:from>
    <xdr:ext cx="1600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2981325" y="6753225"/>
          <a:ext cx="1600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160020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981325" y="6753225"/>
          <a:ext cx="1600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1600200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2981325" y="6753225"/>
          <a:ext cx="1600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33</xdr:row>
      <xdr:rowOff>0</xdr:rowOff>
    </xdr:from>
    <xdr:ext cx="1323975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2981325" y="6753225"/>
          <a:ext cx="1323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132397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981325" y="6753225"/>
          <a:ext cx="1323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1323975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2981325" y="6753225"/>
          <a:ext cx="1323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33</xdr:row>
      <xdr:rowOff>0</xdr:rowOff>
    </xdr:from>
    <xdr:ext cx="112395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2981325" y="6753225"/>
          <a:ext cx="11239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112395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981325" y="6753225"/>
          <a:ext cx="11239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1123950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2981325" y="6753225"/>
          <a:ext cx="11239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33</xdr:row>
      <xdr:rowOff>0</xdr:rowOff>
    </xdr:from>
    <xdr:ext cx="923925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2981325" y="6743700"/>
          <a:ext cx="9239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9239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981325" y="6743700"/>
          <a:ext cx="9239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33</xdr:row>
      <xdr:rowOff>0</xdr:rowOff>
    </xdr:from>
    <xdr:ext cx="923925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2981325" y="6743700"/>
          <a:ext cx="9239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30</xdr:row>
      <xdr:rowOff>0</xdr:rowOff>
    </xdr:from>
    <xdr:ext cx="120015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2657475" y="6143625"/>
          <a:ext cx="1200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30</xdr:row>
      <xdr:rowOff>0</xdr:rowOff>
    </xdr:from>
    <xdr:ext cx="1200150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657475" y="6143625"/>
          <a:ext cx="1200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30</xdr:row>
      <xdr:rowOff>0</xdr:rowOff>
    </xdr:from>
    <xdr:ext cx="1200150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2657475" y="6143625"/>
          <a:ext cx="1200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29</xdr:row>
      <xdr:rowOff>0</xdr:rowOff>
    </xdr:from>
    <xdr:ext cx="600075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4400550" y="6781800"/>
          <a:ext cx="600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29</xdr:row>
      <xdr:rowOff>0</xdr:rowOff>
    </xdr:from>
    <xdr:ext cx="60007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4400550" y="6781800"/>
          <a:ext cx="600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333375</xdr:colOff>
      <xdr:row>29</xdr:row>
      <xdr:rowOff>0</xdr:rowOff>
    </xdr:from>
    <xdr:ext cx="600075" cy="28575"/>
    <xdr:sp fLocksText="0">
      <xdr:nvSpPr>
        <xdr:cNvPr id="3" name="Text Box 2"/>
        <xdr:cNvSpPr txBox="1">
          <a:spLocks noChangeArrowheads="1"/>
        </xdr:cNvSpPr>
      </xdr:nvSpPr>
      <xdr:spPr>
        <a:xfrm>
          <a:off x="4400550" y="6781800"/>
          <a:ext cx="600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124" zoomScaleNormal="124" zoomScalePageLayoutView="0" workbookViewId="0" topLeftCell="A1">
      <selection activeCell="M20" sqref="M20"/>
    </sheetView>
  </sheetViews>
  <sheetFormatPr defaultColWidth="9.140625" defaultRowHeight="15"/>
  <cols>
    <col min="1" max="1" width="17.421875" style="33" customWidth="1"/>
    <col min="2" max="2" width="7.7109375" style="34" customWidth="1"/>
    <col min="3" max="5" width="7.28125" style="35" bestFit="1" customWidth="1"/>
    <col min="6" max="9" width="8.00390625" style="35" bestFit="1" customWidth="1"/>
    <col min="10" max="10" width="9.57421875" style="35" customWidth="1"/>
    <col min="11" max="11" width="9.140625" style="35" customWidth="1"/>
    <col min="12" max="12" width="8.7109375" style="35" customWidth="1"/>
    <col min="13" max="13" width="9.7109375" style="35" customWidth="1"/>
    <col min="14" max="14" width="7.57421875" style="35" customWidth="1"/>
    <col min="15" max="15" width="10.28125" style="35" bestFit="1" customWidth="1"/>
    <col min="16" max="19" width="10.28125" style="35" customWidth="1"/>
    <col min="20" max="24" width="11.00390625" style="66" customWidth="1"/>
    <col min="25" max="25" width="10.57421875" style="66" customWidth="1"/>
    <col min="26" max="26" width="19.28125" style="36" customWidth="1"/>
    <col min="27" max="27" width="10.00390625" style="32" bestFit="1" customWidth="1"/>
    <col min="28" max="16384" width="9.140625" style="32" customWidth="1"/>
  </cols>
  <sheetData>
    <row r="1" spans="1:27" s="18" customFormat="1" ht="18">
      <c r="A1" s="236" t="s">
        <v>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51"/>
      <c r="V1" s="51"/>
      <c r="W1" s="51"/>
      <c r="X1" s="51"/>
      <c r="Y1" s="68"/>
      <c r="Z1" s="52"/>
      <c r="AA1" s="19"/>
    </row>
    <row r="2" spans="1:26" s="18" customFormat="1" ht="24.75" customHeight="1">
      <c r="A2" s="61" t="s">
        <v>105</v>
      </c>
      <c r="B2" s="1" t="s">
        <v>0</v>
      </c>
      <c r="C2" s="38" t="s">
        <v>1</v>
      </c>
      <c r="D2" s="38" t="s">
        <v>2</v>
      </c>
      <c r="E2" s="38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62" t="s">
        <v>106</v>
      </c>
      <c r="P2" s="62" t="s">
        <v>107</v>
      </c>
      <c r="Q2" s="20" t="s">
        <v>108</v>
      </c>
      <c r="R2" s="20" t="s">
        <v>104</v>
      </c>
      <c r="S2" s="20" t="s">
        <v>79</v>
      </c>
      <c r="T2" s="20" t="s">
        <v>77</v>
      </c>
      <c r="U2" s="20" t="s">
        <v>72</v>
      </c>
      <c r="V2" s="20" t="s">
        <v>67</v>
      </c>
      <c r="W2" s="20" t="s">
        <v>58</v>
      </c>
      <c r="X2" s="20" t="s">
        <v>55</v>
      </c>
      <c r="Y2" s="20" t="s">
        <v>44</v>
      </c>
      <c r="Z2" s="53"/>
    </row>
    <row r="3" spans="1:27" s="18" customFormat="1" ht="16.5">
      <c r="A3" s="54" t="s">
        <v>13</v>
      </c>
      <c r="B3" s="238" t="s">
        <v>14</v>
      </c>
      <c r="C3" s="3">
        <v>0</v>
      </c>
      <c r="D3" s="3">
        <v>0</v>
      </c>
      <c r="E3" s="3">
        <v>0</v>
      </c>
      <c r="F3" s="3">
        <v>179</v>
      </c>
      <c r="G3" s="3">
        <v>7233</v>
      </c>
      <c r="H3" s="3">
        <v>8192</v>
      </c>
      <c r="I3" s="3">
        <v>8433</v>
      </c>
      <c r="J3" s="3">
        <v>8484</v>
      </c>
      <c r="K3" s="3">
        <v>8253</v>
      </c>
      <c r="L3" s="3"/>
      <c r="M3" s="3">
        <v>0</v>
      </c>
      <c r="N3" s="3">
        <v>0</v>
      </c>
      <c r="O3" s="40">
        <f>SUM(A3:L3)</f>
        <v>40774</v>
      </c>
      <c r="P3" s="40">
        <v>47525</v>
      </c>
      <c r="Q3" s="40">
        <v>47292</v>
      </c>
      <c r="R3" s="40">
        <f>'TRAVELIFE CONSUPTION 2021'!O3</f>
        <v>33779</v>
      </c>
      <c r="S3" s="40">
        <v>23534</v>
      </c>
      <c r="T3" s="40">
        <f>'TRAVELIFE CONSUPTION 2019'!O3</f>
        <v>42793</v>
      </c>
      <c r="U3" s="21">
        <v>49240</v>
      </c>
      <c r="V3" s="80">
        <v>50514</v>
      </c>
      <c r="W3" s="21">
        <v>42667</v>
      </c>
      <c r="X3" s="21">
        <f>'ATLANTICA MIKRI POLI CRETE 2015'!O3</f>
        <v>42226</v>
      </c>
      <c r="Y3" s="69">
        <v>43962</v>
      </c>
      <c r="Z3" s="53"/>
      <c r="AA3" s="19"/>
    </row>
    <row r="4" spans="1:27" s="18" customFormat="1" ht="16.5">
      <c r="A4" s="54" t="s">
        <v>15</v>
      </c>
      <c r="B4" s="238"/>
      <c r="C4" s="3">
        <v>0</v>
      </c>
      <c r="D4" s="3">
        <v>0</v>
      </c>
      <c r="E4" s="3">
        <v>0</v>
      </c>
      <c r="F4" s="3">
        <v>457</v>
      </c>
      <c r="G4" s="3">
        <v>17476</v>
      </c>
      <c r="H4" s="3">
        <v>22140</v>
      </c>
      <c r="I4" s="3">
        <v>26991</v>
      </c>
      <c r="J4" s="3">
        <v>27643</v>
      </c>
      <c r="K4" s="3">
        <v>19899</v>
      </c>
      <c r="L4" s="3"/>
      <c r="M4" s="3">
        <v>0</v>
      </c>
      <c r="N4" s="3">
        <v>0</v>
      </c>
      <c r="O4" s="40">
        <f>SUM(A4:L4)</f>
        <v>114606</v>
      </c>
      <c r="P4" s="40">
        <v>134361</v>
      </c>
      <c r="Q4" s="40">
        <v>134667</v>
      </c>
      <c r="R4" s="40">
        <f>'TRAVELIFE CONSUPTION 2021'!O4</f>
        <v>92124</v>
      </c>
      <c r="S4" s="40">
        <v>67589</v>
      </c>
      <c r="T4" s="40">
        <f>'TRAVELIFE CONSUPTION 2019'!O4</f>
        <v>122220</v>
      </c>
      <c r="U4" s="21">
        <v>140872</v>
      </c>
      <c r="V4" s="80">
        <v>140236</v>
      </c>
      <c r="W4" s="21">
        <v>121277</v>
      </c>
      <c r="X4" s="21">
        <f>'ATLANTICA MIKRI POLI CRETE 2015'!O4</f>
        <v>119722</v>
      </c>
      <c r="Y4" s="69">
        <v>123137</v>
      </c>
      <c r="Z4" s="53"/>
      <c r="AA4" s="19"/>
    </row>
    <row r="5" spans="1:27" s="18" customFormat="1" ht="16.5">
      <c r="A5" s="63" t="s">
        <v>16</v>
      </c>
      <c r="B5" s="41"/>
      <c r="C5" s="3"/>
      <c r="D5" s="3"/>
      <c r="E5" s="3"/>
      <c r="F5" s="42"/>
      <c r="G5" s="42"/>
      <c r="H5" s="42"/>
      <c r="I5" s="42"/>
      <c r="J5" s="42"/>
      <c r="K5" s="42"/>
      <c r="L5" s="42"/>
      <c r="M5" s="42"/>
      <c r="N5" s="43"/>
      <c r="O5" s="44"/>
      <c r="P5" s="44"/>
      <c r="Q5" s="44"/>
      <c r="R5" s="40"/>
      <c r="S5" s="44"/>
      <c r="T5" s="65"/>
      <c r="U5" s="65"/>
      <c r="V5" s="81"/>
      <c r="W5" s="65"/>
      <c r="X5" s="65"/>
      <c r="Y5" s="65"/>
      <c r="Z5" s="53"/>
      <c r="AA5" s="19"/>
    </row>
    <row r="6" spans="1:27" s="25" customFormat="1" ht="15">
      <c r="A6" s="54" t="s">
        <v>17</v>
      </c>
      <c r="B6" s="45" t="s">
        <v>18</v>
      </c>
      <c r="C6" s="5">
        <v>11730</v>
      </c>
      <c r="D6" s="5">
        <v>11366</v>
      </c>
      <c r="E6" s="5">
        <v>23596</v>
      </c>
      <c r="F6" s="5">
        <v>66072</v>
      </c>
      <c r="G6" s="5">
        <v>256383</v>
      </c>
      <c r="H6" s="5">
        <v>318407.7</v>
      </c>
      <c r="I6" s="5">
        <v>412631</v>
      </c>
      <c r="J6" s="6">
        <v>414264</v>
      </c>
      <c r="K6" s="6"/>
      <c r="L6" s="6"/>
      <c r="M6" s="6"/>
      <c r="N6" s="6"/>
      <c r="O6" s="6">
        <f>SUM(A6:N6)</f>
        <v>1514449.7</v>
      </c>
      <c r="P6" s="6">
        <v>2060000</v>
      </c>
      <c r="Q6" s="6">
        <v>2058678</v>
      </c>
      <c r="R6" s="40">
        <f>'TRAVELIFE CONSUPTION 2021'!O6</f>
        <v>1663325</v>
      </c>
      <c r="S6" s="6">
        <v>1378070</v>
      </c>
      <c r="T6" s="23">
        <f>'TRAVELIFE CONSUPTION 2019'!O6</f>
        <v>1909715</v>
      </c>
      <c r="U6" s="23">
        <v>2022275</v>
      </c>
      <c r="V6" s="86">
        <v>2040720</v>
      </c>
      <c r="W6" s="23">
        <v>1919775</v>
      </c>
      <c r="X6" s="23">
        <f>'ATLANTICA MIKRI POLI CRETE 2015'!O6</f>
        <v>1938378</v>
      </c>
      <c r="Y6" s="23">
        <v>1965625</v>
      </c>
      <c r="Z6" s="53" t="s">
        <v>36</v>
      </c>
      <c r="AA6" s="24">
        <f>U6/U3</f>
        <v>41.06976035743298</v>
      </c>
    </row>
    <row r="7" spans="1:27" s="25" customFormat="1" ht="15">
      <c r="A7" s="54" t="s">
        <v>17</v>
      </c>
      <c r="B7" s="45" t="s">
        <v>30</v>
      </c>
      <c r="C7" s="7">
        <v>1555.8</v>
      </c>
      <c r="D7" s="7">
        <v>2324.36</v>
      </c>
      <c r="E7" s="7">
        <v>4424.72</v>
      </c>
      <c r="F7" s="7">
        <v>11852.47</v>
      </c>
      <c r="G7" s="7">
        <v>43287.34</v>
      </c>
      <c r="H7" s="7">
        <v>48205.5</v>
      </c>
      <c r="I7" s="7">
        <v>74744</v>
      </c>
      <c r="J7" s="8">
        <v>76662</v>
      </c>
      <c r="K7" s="8"/>
      <c r="L7" s="8"/>
      <c r="M7" s="8"/>
      <c r="N7" s="8"/>
      <c r="O7" s="6">
        <f>SUM(A7:N7)</f>
        <v>263056.19</v>
      </c>
      <c r="P7" s="6">
        <v>455000</v>
      </c>
      <c r="Q7" s="6">
        <v>451771.29000000004</v>
      </c>
      <c r="R7" s="40">
        <f>'TRAVELIFE CONSUPTION 2021'!O7</f>
        <v>299169.31</v>
      </c>
      <c r="S7" s="6">
        <v>160416.94</v>
      </c>
      <c r="T7" s="87">
        <f>'TRAVELIFE CONSUPTION 2019'!O7</f>
        <v>191938.01</v>
      </c>
      <c r="U7" s="23">
        <v>214290</v>
      </c>
      <c r="V7" s="86">
        <v>224822</v>
      </c>
      <c r="W7" s="23">
        <v>207617</v>
      </c>
      <c r="X7" s="23">
        <f>'ATLANTICA MIKRI POLI CRETE 2015'!O7</f>
        <v>243776</v>
      </c>
      <c r="Y7" s="23">
        <v>252347</v>
      </c>
      <c r="Z7" s="53" t="s">
        <v>36</v>
      </c>
      <c r="AA7" s="24">
        <f>U6/U4</f>
        <v>14.355407746038958</v>
      </c>
    </row>
    <row r="8" spans="1:27" s="25" customFormat="1" ht="15">
      <c r="A8" s="64" t="s">
        <v>31</v>
      </c>
      <c r="B8" s="232" t="s">
        <v>30</v>
      </c>
      <c r="C8" s="233">
        <v>5000</v>
      </c>
      <c r="D8" s="233">
        <v>5000</v>
      </c>
      <c r="E8" s="233">
        <v>5000</v>
      </c>
      <c r="F8" s="233">
        <v>11694</v>
      </c>
      <c r="G8" s="233">
        <v>64094</v>
      </c>
      <c r="H8" s="233">
        <v>70131</v>
      </c>
      <c r="I8" s="233">
        <v>72406</v>
      </c>
      <c r="J8" s="234">
        <v>72406</v>
      </c>
      <c r="K8" s="234">
        <v>70131</v>
      </c>
      <c r="L8" s="234">
        <v>64138</v>
      </c>
      <c r="M8" s="234">
        <v>5000</v>
      </c>
      <c r="N8" s="234">
        <v>5000</v>
      </c>
      <c r="O8" s="234">
        <f>SUM(C8:N8)</f>
        <v>450000</v>
      </c>
      <c r="P8" s="234">
        <v>450000</v>
      </c>
      <c r="Q8" s="8">
        <v>283905</v>
      </c>
      <c r="R8" s="231">
        <f>'TRAVELIFE CONSUPTION 2021'!O8</f>
        <v>191545</v>
      </c>
      <c r="S8" s="8">
        <v>224440</v>
      </c>
      <c r="T8" s="87">
        <f>'TRAVELIFE CONSUPTION 2019'!O8</f>
        <v>220768</v>
      </c>
      <c r="U8" s="26">
        <v>219843</v>
      </c>
      <c r="V8" s="26">
        <v>224822</v>
      </c>
      <c r="W8" s="26">
        <v>207618</v>
      </c>
      <c r="X8" s="26">
        <v>243776</v>
      </c>
      <c r="Y8" s="26">
        <v>252347</v>
      </c>
      <c r="Z8" s="53" t="s">
        <v>36</v>
      </c>
      <c r="AA8" s="24"/>
    </row>
    <row r="9" spans="1:27" s="25" customFormat="1" ht="15">
      <c r="A9" s="54" t="s">
        <v>48</v>
      </c>
      <c r="B9" s="46" t="s">
        <v>20</v>
      </c>
      <c r="C9" s="9">
        <v>84</v>
      </c>
      <c r="D9" s="9">
        <v>100</v>
      </c>
      <c r="E9" s="9">
        <v>300</v>
      </c>
      <c r="F9" s="9">
        <v>2100</v>
      </c>
      <c r="G9" s="9">
        <v>6580</v>
      </c>
      <c r="H9" s="9">
        <v>10240</v>
      </c>
      <c r="I9" s="9">
        <v>11101</v>
      </c>
      <c r="J9" s="9">
        <v>11925</v>
      </c>
      <c r="K9" s="9">
        <v>8950</v>
      </c>
      <c r="L9" s="9"/>
      <c r="M9" s="27"/>
      <c r="N9" s="27">
        <v>0</v>
      </c>
      <c r="O9" s="21">
        <f>SUM(A9:N9)</f>
        <v>51380</v>
      </c>
      <c r="P9" s="21">
        <v>52000</v>
      </c>
      <c r="Q9" s="21">
        <v>51692</v>
      </c>
      <c r="R9" s="40">
        <f>'TRAVELIFE CONSUPTION 2021'!O9</f>
        <v>27568</v>
      </c>
      <c r="S9" s="21">
        <v>15772</v>
      </c>
      <c r="T9" s="23">
        <f>'TRAVELIFE CONSUPTION 2019'!O9</f>
        <v>30343</v>
      </c>
      <c r="U9" s="21">
        <v>26713</v>
      </c>
      <c r="V9" s="21">
        <v>31913</v>
      </c>
      <c r="W9" s="21">
        <v>34637</v>
      </c>
      <c r="X9" s="21">
        <f>'ATLANTICA MIKRI POLI CRETE 2015'!O9</f>
        <v>43354</v>
      </c>
      <c r="Y9" s="69">
        <v>49194</v>
      </c>
      <c r="Z9" s="55" t="s">
        <v>37</v>
      </c>
      <c r="AA9" s="24">
        <f>U11/U3</f>
        <v>0.5751421608448416</v>
      </c>
    </row>
    <row r="10" spans="1:27" s="25" customFormat="1" ht="15">
      <c r="A10" s="54" t="s">
        <v>49</v>
      </c>
      <c r="B10" s="46" t="s">
        <v>20</v>
      </c>
      <c r="C10" s="9">
        <v>166</v>
      </c>
      <c r="D10" s="9">
        <v>137</v>
      </c>
      <c r="E10" s="9">
        <v>220</v>
      </c>
      <c r="F10" s="9">
        <v>429</v>
      </c>
      <c r="G10" s="9">
        <v>116</v>
      </c>
      <c r="H10" s="9">
        <v>443</v>
      </c>
      <c r="I10" s="9">
        <v>531</v>
      </c>
      <c r="J10" s="9">
        <v>450</v>
      </c>
      <c r="K10" s="9">
        <v>333</v>
      </c>
      <c r="L10" s="9"/>
      <c r="M10" s="27"/>
      <c r="N10" s="27">
        <v>0</v>
      </c>
      <c r="O10" s="21">
        <f>SUM(A10:N10)</f>
        <v>2825</v>
      </c>
      <c r="P10" s="21">
        <v>2500</v>
      </c>
      <c r="Q10" s="21">
        <v>2616</v>
      </c>
      <c r="R10" s="40">
        <f>'TRAVELIFE CONSUPTION 2021'!O10</f>
        <v>1896</v>
      </c>
      <c r="S10" s="21">
        <v>1549</v>
      </c>
      <c r="T10" s="23">
        <f>'TRAVELIFE CONSUPTION 2019'!O10</f>
        <v>3389</v>
      </c>
      <c r="U10" s="21">
        <v>1607</v>
      </c>
      <c r="V10" s="21">
        <v>2077</v>
      </c>
      <c r="W10" s="21">
        <v>2538</v>
      </c>
      <c r="X10" s="21">
        <v>3570</v>
      </c>
      <c r="Y10" s="69">
        <v>1747</v>
      </c>
      <c r="Z10" s="55" t="s">
        <v>38</v>
      </c>
      <c r="AA10" s="24">
        <f>U11/U4</f>
        <v>0.2010335623828724</v>
      </c>
    </row>
    <row r="11" spans="1:27" s="25" customFormat="1" ht="15">
      <c r="A11" s="54" t="s">
        <v>50</v>
      </c>
      <c r="B11" s="47" t="s">
        <v>20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>SUM(N9:N10)</f>
        <v>0</v>
      </c>
      <c r="O11" s="48">
        <f>SUM(A11:L11)</f>
        <v>0</v>
      </c>
      <c r="P11" s="48">
        <f>SUM(P9:P10)</f>
        <v>54500</v>
      </c>
      <c r="Q11" s="48">
        <v>53690</v>
      </c>
      <c r="R11" s="40">
        <f>'TRAVELIFE CONSUPTION 2021'!O11</f>
        <v>29361</v>
      </c>
      <c r="S11" s="48">
        <v>17321</v>
      </c>
      <c r="T11" s="23">
        <f>'TRAVELIFE CONSUPTION 2019'!O11</f>
        <v>33732</v>
      </c>
      <c r="U11" s="21">
        <v>28320</v>
      </c>
      <c r="V11" s="21">
        <v>33990</v>
      </c>
      <c r="W11" s="21">
        <v>37175</v>
      </c>
      <c r="X11" s="21">
        <v>46924</v>
      </c>
      <c r="Y11" s="69">
        <v>50940</v>
      </c>
      <c r="Z11" s="56" t="s">
        <v>39</v>
      </c>
      <c r="AA11" s="24"/>
    </row>
    <row r="12" spans="1:27" s="25" customFormat="1" ht="15">
      <c r="A12" s="64" t="s">
        <v>34</v>
      </c>
      <c r="B12" s="232" t="s">
        <v>30</v>
      </c>
      <c r="C12" s="233">
        <v>200</v>
      </c>
      <c r="D12" s="233">
        <v>200</v>
      </c>
      <c r="E12" s="233">
        <v>200</v>
      </c>
      <c r="F12" s="233">
        <v>127</v>
      </c>
      <c r="G12" s="233">
        <v>3333</v>
      </c>
      <c r="H12" s="233">
        <v>4084</v>
      </c>
      <c r="I12" s="233">
        <v>4970</v>
      </c>
      <c r="J12" s="233">
        <v>4970</v>
      </c>
      <c r="K12" s="233">
        <v>3501</v>
      </c>
      <c r="L12" s="233">
        <v>3469</v>
      </c>
      <c r="M12" s="233">
        <v>200</v>
      </c>
      <c r="N12" s="233">
        <v>200</v>
      </c>
      <c r="O12" s="233">
        <f>SUM(C12:N12)</f>
        <v>25454</v>
      </c>
      <c r="P12" s="233">
        <v>25454</v>
      </c>
      <c r="Q12" s="11">
        <v>22980</v>
      </c>
      <c r="R12" s="231">
        <f>'TRAVELIFE CONSUPTION 2021'!O12</f>
        <v>18980</v>
      </c>
      <c r="S12" s="11">
        <v>22225</v>
      </c>
      <c r="T12" s="87">
        <f>'TRAVELIFE CONSUPTION 2019'!O12</f>
        <v>22457</v>
      </c>
      <c r="U12" s="26">
        <v>20634</v>
      </c>
      <c r="V12" s="26">
        <v>22932</v>
      </c>
      <c r="W12" s="26">
        <v>22326</v>
      </c>
      <c r="X12" s="26">
        <v>23592</v>
      </c>
      <c r="Y12" s="26">
        <v>25000</v>
      </c>
      <c r="Z12" s="55" t="s">
        <v>40</v>
      </c>
      <c r="AA12" s="24"/>
    </row>
    <row r="13" spans="1:27" s="25" customFormat="1" ht="15">
      <c r="A13" s="54" t="s">
        <v>21</v>
      </c>
      <c r="B13" s="46" t="s">
        <v>22</v>
      </c>
      <c r="C13" s="9">
        <f>54+27</f>
        <v>81</v>
      </c>
      <c r="D13" s="9">
        <v>29</v>
      </c>
      <c r="E13" s="9">
        <f>50+27+30+47+29+27</f>
        <v>210</v>
      </c>
      <c r="F13" s="9">
        <f>36+30+30+18+30+59+55+30+37+29+30</f>
        <v>384</v>
      </c>
      <c r="G13" s="9">
        <f>32+37+21+19+32+39+30+32+39+27</f>
        <v>308</v>
      </c>
      <c r="H13" s="9">
        <f>31+37+31+37+38+32+31+30+31+474</f>
        <v>772</v>
      </c>
      <c r="I13" s="9">
        <f>12+157+19+44+30</f>
        <v>262</v>
      </c>
      <c r="J13" s="9">
        <f>32+26+26+52+33+32+26+28+33</f>
        <v>288</v>
      </c>
      <c r="K13" s="9">
        <f>28+33+27+34+28+35</f>
        <v>185</v>
      </c>
      <c r="L13" s="9"/>
      <c r="M13" s="9"/>
      <c r="N13" s="9">
        <v>0</v>
      </c>
      <c r="O13" s="21">
        <f>SUM(A13:L13)</f>
        <v>2519</v>
      </c>
      <c r="P13" s="21">
        <v>5700</v>
      </c>
      <c r="Q13" s="21">
        <v>5652</v>
      </c>
      <c r="R13" s="40">
        <f>'TRAVELIFE CONSUPTION 2021'!O13</f>
        <v>1872.61</v>
      </c>
      <c r="S13" s="21">
        <v>725</v>
      </c>
      <c r="T13" s="23">
        <f>'TRAVELIFE CONSUPTION 2019'!O13</f>
        <v>1560.27</v>
      </c>
      <c r="U13" s="21">
        <v>3112.9300000000003</v>
      </c>
      <c r="V13" s="21">
        <v>3941.15</v>
      </c>
      <c r="W13" s="21">
        <v>1895</v>
      </c>
      <c r="X13" s="21">
        <v>3376</v>
      </c>
      <c r="Y13" s="69">
        <v>6330</v>
      </c>
      <c r="Z13" s="55" t="s">
        <v>41</v>
      </c>
      <c r="AA13" s="24"/>
    </row>
    <row r="14" spans="1:27" s="25" customFormat="1" ht="15">
      <c r="A14" s="54" t="s">
        <v>21</v>
      </c>
      <c r="B14" s="46" t="s">
        <v>18</v>
      </c>
      <c r="C14" s="9">
        <f>C13*10.467</f>
        <v>847.827</v>
      </c>
      <c r="D14" s="9">
        <f>D13*10.467</f>
        <v>303.543</v>
      </c>
      <c r="E14" s="9">
        <f>E13*10.467</f>
        <v>2198.07</v>
      </c>
      <c r="F14" s="9">
        <f>F13*10.467</f>
        <v>4019.3280000000004</v>
      </c>
      <c r="G14" s="9">
        <f aca="true" t="shared" si="0" ref="G14:N14">G13*10.467</f>
        <v>3223.8360000000002</v>
      </c>
      <c r="H14" s="9">
        <f t="shared" si="0"/>
        <v>8080.524</v>
      </c>
      <c r="I14" s="9">
        <f t="shared" si="0"/>
        <v>2742.3540000000003</v>
      </c>
      <c r="J14" s="9">
        <f t="shared" si="0"/>
        <v>3014.496</v>
      </c>
      <c r="K14" s="9">
        <f t="shared" si="0"/>
        <v>1936.3950000000002</v>
      </c>
      <c r="L14" s="9">
        <f t="shared" si="0"/>
        <v>0</v>
      </c>
      <c r="M14" s="9">
        <f t="shared" si="0"/>
        <v>0</v>
      </c>
      <c r="N14" s="9">
        <f t="shared" si="0"/>
        <v>0</v>
      </c>
      <c r="O14" s="21">
        <f>SUM(A14:L14)</f>
        <v>26366.373</v>
      </c>
      <c r="P14" s="21">
        <v>60000</v>
      </c>
      <c r="Q14" s="21">
        <v>59159.48400000001</v>
      </c>
      <c r="R14" s="40">
        <f>'TRAVELIFE CONSUPTION 2021'!O14</f>
        <v>19600.608870000004</v>
      </c>
      <c r="S14" s="21">
        <v>7588.575000000001</v>
      </c>
      <c r="T14" s="23">
        <f>'TRAVELIFE CONSUPTION 2019'!O14</f>
        <v>16331.346090000001</v>
      </c>
      <c r="U14" s="21">
        <v>32583.038310000004</v>
      </c>
      <c r="V14" s="21">
        <v>41252.01705</v>
      </c>
      <c r="W14" s="21">
        <v>19834.965000000004</v>
      </c>
      <c r="X14" s="21">
        <v>35337</v>
      </c>
      <c r="Y14" s="69">
        <f>Y13*10.467</f>
        <v>66256.11</v>
      </c>
      <c r="Z14" s="55"/>
      <c r="AA14" s="24"/>
    </row>
    <row r="15" spans="1:27" s="25" customFormat="1" ht="15">
      <c r="A15" s="54" t="s">
        <v>32</v>
      </c>
      <c r="B15" s="46" t="s">
        <v>18</v>
      </c>
      <c r="C15" s="9">
        <f>C6+C14</f>
        <v>12577.827</v>
      </c>
      <c r="D15" s="9">
        <f aca="true" t="shared" si="1" ref="D15:N15">D6+D14</f>
        <v>11669.543</v>
      </c>
      <c r="E15" s="9">
        <f t="shared" si="1"/>
        <v>25794.07</v>
      </c>
      <c r="F15" s="9">
        <f t="shared" si="1"/>
        <v>70091.328</v>
      </c>
      <c r="G15" s="9">
        <f t="shared" si="1"/>
        <v>259606.836</v>
      </c>
      <c r="H15" s="9">
        <f t="shared" si="1"/>
        <v>326488.224</v>
      </c>
      <c r="I15" s="9">
        <f t="shared" si="1"/>
        <v>415373.354</v>
      </c>
      <c r="J15" s="9">
        <f t="shared" si="1"/>
        <v>417278.496</v>
      </c>
      <c r="K15" s="9">
        <f t="shared" si="1"/>
        <v>1936.3950000000002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21">
        <f>SUM(A15:L15)</f>
        <v>1540816.073</v>
      </c>
      <c r="P15" s="21">
        <v>2090000</v>
      </c>
      <c r="Q15" s="21">
        <v>2082956.484</v>
      </c>
      <c r="R15" s="40">
        <f>'TRAVELIFE CONSUPTION 2021'!O15</f>
        <v>1653236.60887</v>
      </c>
      <c r="S15" s="21">
        <v>1356219.575</v>
      </c>
      <c r="T15" s="23">
        <f>'TRAVELIFE CONSUPTION 2019'!O15</f>
        <v>1926046.3460900001</v>
      </c>
      <c r="U15" s="21">
        <v>2054858.0383100002</v>
      </c>
      <c r="V15" s="21">
        <v>2081972.0170500001</v>
      </c>
      <c r="W15" s="21">
        <v>1939609.965</v>
      </c>
      <c r="X15" s="21">
        <v>1955112</v>
      </c>
      <c r="Y15" s="69">
        <f>Y14+Y6</f>
        <v>2031881.11</v>
      </c>
      <c r="Z15" s="55"/>
      <c r="AA15" s="24"/>
    </row>
    <row r="16" spans="1:27" s="79" customFormat="1" ht="15">
      <c r="A16" s="73" t="s">
        <v>21</v>
      </c>
      <c r="B16" s="74" t="s">
        <v>30</v>
      </c>
      <c r="C16" s="75">
        <f>C13*1.44</f>
        <v>116.64</v>
      </c>
      <c r="D16" s="75">
        <f>D13*1.33</f>
        <v>38.57</v>
      </c>
      <c r="E16" s="75">
        <f>E13*1.37</f>
        <v>287.70000000000005</v>
      </c>
      <c r="F16" s="75">
        <f>F13*1.34</f>
        <v>514.5600000000001</v>
      </c>
      <c r="G16" s="75">
        <f>G13*1.28</f>
        <v>394.24</v>
      </c>
      <c r="H16" s="75">
        <f>H13*1.36</f>
        <v>1049.92</v>
      </c>
      <c r="I16" s="75">
        <f>I13*1.32</f>
        <v>345.84000000000003</v>
      </c>
      <c r="J16" s="75">
        <f>J13*1.48</f>
        <v>426.24</v>
      </c>
      <c r="K16" s="75">
        <f>K13*1.53</f>
        <v>283.05</v>
      </c>
      <c r="L16" s="75">
        <f>L13*1.48</f>
        <v>0</v>
      </c>
      <c r="M16" s="75">
        <f>M13*1.48</f>
        <v>0</v>
      </c>
      <c r="N16" s="75">
        <f>N13*1.48</f>
        <v>0</v>
      </c>
      <c r="O16" s="76">
        <f>SUM(A16:L16)</f>
        <v>3456.76</v>
      </c>
      <c r="P16" s="76">
        <v>8900</v>
      </c>
      <c r="Q16" s="76">
        <v>8875.14</v>
      </c>
      <c r="R16" s="40">
        <f>'TRAVELIFE CONSUPTION 2021'!O16</f>
        <v>2371.4511</v>
      </c>
      <c r="S16" s="76">
        <v>855.4999999999999</v>
      </c>
      <c r="T16" s="23">
        <f>'TRAVELIFE CONSUPTION 2019'!O16</f>
        <v>2031.9185999999997</v>
      </c>
      <c r="U16" s="76">
        <v>4500.2378</v>
      </c>
      <c r="V16" s="21">
        <v>4217.0305</v>
      </c>
      <c r="W16" s="76">
        <v>1781.3</v>
      </c>
      <c r="X16" s="76">
        <v>3511.04</v>
      </c>
      <c r="Y16" s="77">
        <v>8900</v>
      </c>
      <c r="Z16" s="55"/>
      <c r="AA16" s="78"/>
    </row>
    <row r="17" spans="1:27" s="25" customFormat="1" ht="15">
      <c r="A17" s="64" t="s">
        <v>51</v>
      </c>
      <c r="B17" s="232" t="s">
        <v>30</v>
      </c>
      <c r="C17" s="233">
        <v>0</v>
      </c>
      <c r="D17" s="233">
        <v>0</v>
      </c>
      <c r="E17" s="233">
        <v>0</v>
      </c>
      <c r="F17" s="233">
        <v>23</v>
      </c>
      <c r="G17" s="233">
        <v>586</v>
      </c>
      <c r="H17" s="233">
        <v>641</v>
      </c>
      <c r="I17" s="233">
        <v>662</v>
      </c>
      <c r="J17" s="233">
        <v>662</v>
      </c>
      <c r="K17" s="233">
        <v>641</v>
      </c>
      <c r="L17" s="233">
        <v>586</v>
      </c>
      <c r="M17" s="233">
        <v>0</v>
      </c>
      <c r="N17" s="233">
        <v>0</v>
      </c>
      <c r="O17" s="235">
        <f>SUM(A17:N17)</f>
        <v>3801</v>
      </c>
      <c r="P17" s="235">
        <v>3801</v>
      </c>
      <c r="Q17" s="67">
        <v>1063</v>
      </c>
      <c r="R17" s="231">
        <f>'TRAVELIFE CONSUPTION 2021'!O17</f>
        <v>1301</v>
      </c>
      <c r="S17" s="67">
        <v>1472</v>
      </c>
      <c r="T17" s="87">
        <f>'TRAVELIFE CONSUPTION 2019'!O17</f>
        <v>1447</v>
      </c>
      <c r="U17" s="67">
        <v>480</v>
      </c>
      <c r="V17" s="67">
        <v>3131</v>
      </c>
      <c r="W17" s="67">
        <v>4830</v>
      </c>
      <c r="X17" s="67">
        <v>7500</v>
      </c>
      <c r="Y17" s="70">
        <v>8900</v>
      </c>
      <c r="Z17" s="55"/>
      <c r="AA17" s="24"/>
    </row>
    <row r="18" spans="1:27" s="25" customFormat="1" ht="15">
      <c r="A18" s="183" t="s">
        <v>84</v>
      </c>
      <c r="B18" s="210" t="s">
        <v>93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67"/>
      <c r="P18" s="67">
        <v>45000</v>
      </c>
      <c r="Q18" s="76">
        <v>45000</v>
      </c>
      <c r="R18" s="76">
        <f>'TRAVELIFE CONSUPTION 2021'!O18</f>
        <v>41000</v>
      </c>
      <c r="S18" s="86">
        <v>35000</v>
      </c>
      <c r="T18" s="86">
        <v>46000</v>
      </c>
      <c r="U18" s="86">
        <v>44000</v>
      </c>
      <c r="V18" s="67">
        <v>42000</v>
      </c>
      <c r="W18" s="67">
        <v>90700</v>
      </c>
      <c r="X18" s="67">
        <v>85500</v>
      </c>
      <c r="Y18" s="70">
        <v>0</v>
      </c>
      <c r="Z18" s="55"/>
      <c r="AA18" s="24"/>
    </row>
    <row r="19" spans="1:27" s="25" customFormat="1" ht="15">
      <c r="A19" s="183" t="s">
        <v>96</v>
      </c>
      <c r="B19" s="210" t="s">
        <v>93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67"/>
      <c r="P19" s="67">
        <v>23000</v>
      </c>
      <c r="Q19" s="76">
        <v>23000</v>
      </c>
      <c r="R19" s="76">
        <f>'TRAVELIFE CONSUPTION 2021'!O19</f>
        <v>19000</v>
      </c>
      <c r="S19" s="86">
        <v>14000</v>
      </c>
      <c r="T19" s="86">
        <v>17000</v>
      </c>
      <c r="U19" s="86">
        <v>15000</v>
      </c>
      <c r="V19" s="67">
        <v>13000</v>
      </c>
      <c r="W19" s="67">
        <v>47040</v>
      </c>
      <c r="X19" s="67">
        <v>40000</v>
      </c>
      <c r="Y19" s="70">
        <v>0</v>
      </c>
      <c r="Z19" s="55"/>
      <c r="AA19" s="24"/>
    </row>
    <row r="20" spans="1:27" s="25" customFormat="1" ht="15">
      <c r="A20" s="183" t="s">
        <v>95</v>
      </c>
      <c r="B20" s="210" t="s">
        <v>93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67"/>
      <c r="P20" s="67">
        <v>7800</v>
      </c>
      <c r="Q20" s="76">
        <v>7800</v>
      </c>
      <c r="R20" s="76">
        <f>'TRAVELIFE CONSUPTION 2021'!O20</f>
        <v>4200</v>
      </c>
      <c r="S20" s="86">
        <v>600</v>
      </c>
      <c r="T20" s="86">
        <v>3900</v>
      </c>
      <c r="U20" s="86">
        <v>6040</v>
      </c>
      <c r="V20" s="67">
        <v>6890</v>
      </c>
      <c r="W20" s="67">
        <v>6090</v>
      </c>
      <c r="X20" s="67">
        <v>6750</v>
      </c>
      <c r="Y20" s="70">
        <v>0</v>
      </c>
      <c r="Z20" s="55"/>
      <c r="AA20" s="24"/>
    </row>
    <row r="21" spans="1:27" s="25" customFormat="1" ht="15">
      <c r="A21" s="183" t="s">
        <v>94</v>
      </c>
      <c r="B21" s="210" t="s">
        <v>93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67"/>
      <c r="P21" s="67">
        <v>560</v>
      </c>
      <c r="Q21" s="76">
        <v>560</v>
      </c>
      <c r="R21" s="76">
        <f>'TRAVELIFE CONSUPTION 2021'!O21</f>
        <v>670</v>
      </c>
      <c r="S21" s="86">
        <v>860</v>
      </c>
      <c r="T21" s="86">
        <v>640</v>
      </c>
      <c r="U21" s="86">
        <v>1275</v>
      </c>
      <c r="V21" s="67">
        <v>1226</v>
      </c>
      <c r="W21" s="67">
        <v>1120</v>
      </c>
      <c r="X21" s="67">
        <v>1580</v>
      </c>
      <c r="Y21" s="70">
        <v>0</v>
      </c>
      <c r="Z21" s="55"/>
      <c r="AA21" s="24"/>
    </row>
    <row r="22" spans="1:27" s="25" customFormat="1" ht="15">
      <c r="A22" s="57" t="s">
        <v>23</v>
      </c>
      <c r="B22" s="49" t="s">
        <v>22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50">
        <v>0</v>
      </c>
      <c r="P22" s="50"/>
      <c r="Q22" s="50"/>
      <c r="R22" s="50"/>
      <c r="S22" s="50">
        <v>0</v>
      </c>
      <c r="T22" s="37">
        <v>0</v>
      </c>
      <c r="U22" s="37">
        <v>0</v>
      </c>
      <c r="V22" s="83">
        <v>0</v>
      </c>
      <c r="W22" s="37">
        <v>0</v>
      </c>
      <c r="X22" s="37"/>
      <c r="Y22" s="71">
        <v>0</v>
      </c>
      <c r="Z22" s="58" t="s">
        <v>45</v>
      </c>
      <c r="AA22" s="24"/>
    </row>
    <row r="23" spans="1:27" s="18" customFormat="1" ht="16.5">
      <c r="A23" s="63" t="s">
        <v>64</v>
      </c>
      <c r="B23" s="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82"/>
      <c r="W23" s="15"/>
      <c r="X23" s="15"/>
      <c r="Y23" s="15"/>
      <c r="Z23" s="55"/>
      <c r="AA23" s="19"/>
    </row>
    <row r="24" spans="1:27" s="18" customFormat="1" ht="16.5">
      <c r="A24" s="54" t="s">
        <v>17</v>
      </c>
      <c r="B24" s="2" t="s">
        <v>46</v>
      </c>
      <c r="C24" s="13" t="e">
        <f aca="true" t="shared" si="2" ref="C24:X24">C6/C3</f>
        <v>#DIV/0!</v>
      </c>
      <c r="D24" s="13" t="e">
        <f t="shared" si="2"/>
        <v>#DIV/0!</v>
      </c>
      <c r="E24" s="13" t="e">
        <f t="shared" si="2"/>
        <v>#DIV/0!</v>
      </c>
      <c r="F24" s="13">
        <f t="shared" si="2"/>
        <v>369.1173184357542</v>
      </c>
      <c r="G24" s="13">
        <f t="shared" si="2"/>
        <v>35.446287847366236</v>
      </c>
      <c r="H24" s="13">
        <f t="shared" si="2"/>
        <v>38.86812744140625</v>
      </c>
      <c r="I24" s="13">
        <f t="shared" si="2"/>
        <v>48.930511087394756</v>
      </c>
      <c r="J24" s="13">
        <f t="shared" si="2"/>
        <v>48.82885431400283</v>
      </c>
      <c r="K24" s="13">
        <f t="shared" si="2"/>
        <v>0</v>
      </c>
      <c r="L24" s="13" t="e">
        <f t="shared" si="2"/>
        <v>#DIV/0!</v>
      </c>
      <c r="M24" s="13" t="e">
        <f t="shared" si="2"/>
        <v>#DIV/0!</v>
      </c>
      <c r="N24" s="13" t="e">
        <f t="shared" si="2"/>
        <v>#DIV/0!</v>
      </c>
      <c r="O24" s="13">
        <f>O6/O3</f>
        <v>37.142534458233186</v>
      </c>
      <c r="P24" s="13">
        <f>P6/P3</f>
        <v>43.345607574960546</v>
      </c>
      <c r="Q24" s="13">
        <v>43.53121035270236</v>
      </c>
      <c r="R24" s="13">
        <f>R6/R3</f>
        <v>49.241392581189494</v>
      </c>
      <c r="S24" s="13">
        <v>58.55655647148806</v>
      </c>
      <c r="T24" s="13">
        <f>T6/T3</f>
        <v>44.626808122823824</v>
      </c>
      <c r="U24" s="13">
        <v>41.06976035743298</v>
      </c>
      <c r="V24" s="13">
        <v>40.39909727996199</v>
      </c>
      <c r="W24" s="13">
        <f t="shared" si="2"/>
        <v>44.99437504394497</v>
      </c>
      <c r="X24" s="13">
        <f t="shared" si="2"/>
        <v>45.90484535594184</v>
      </c>
      <c r="Y24" s="13">
        <f>Y6/Y3</f>
        <v>44.711910286156225</v>
      </c>
      <c r="Z24" s="55" t="s">
        <v>36</v>
      </c>
      <c r="AA24" s="19"/>
    </row>
    <row r="25" spans="1:27" s="18" customFormat="1" ht="16.5">
      <c r="A25" s="54" t="s">
        <v>19</v>
      </c>
      <c r="B25" s="1" t="s">
        <v>103</v>
      </c>
      <c r="C25" s="14" t="e">
        <f>C11/C3</f>
        <v>#DIV/0!</v>
      </c>
      <c r="D25" s="14" t="e">
        <f aca="true" t="shared" si="3" ref="D25:N25">D11/D3</f>
        <v>#DIV/0!</v>
      </c>
      <c r="E25" s="14" t="e">
        <f t="shared" si="3"/>
        <v>#DIV/0!</v>
      </c>
      <c r="F25" s="14">
        <f t="shared" si="3"/>
        <v>0</v>
      </c>
      <c r="G25" s="14">
        <f t="shared" si="3"/>
        <v>0</v>
      </c>
      <c r="H25" s="14">
        <f t="shared" si="3"/>
        <v>0</v>
      </c>
      <c r="I25" s="14">
        <f t="shared" si="3"/>
        <v>0</v>
      </c>
      <c r="J25" s="14">
        <f t="shared" si="3"/>
        <v>0</v>
      </c>
      <c r="K25" s="14">
        <f t="shared" si="3"/>
        <v>0</v>
      </c>
      <c r="L25" s="14" t="e">
        <f t="shared" si="3"/>
        <v>#DIV/0!</v>
      </c>
      <c r="M25" s="14" t="e">
        <f t="shared" si="3"/>
        <v>#DIV/0!</v>
      </c>
      <c r="N25" s="14" t="e">
        <f t="shared" si="3"/>
        <v>#DIV/0!</v>
      </c>
      <c r="O25" s="14">
        <f>O11/O3</f>
        <v>0</v>
      </c>
      <c r="P25" s="14">
        <f>P11/P3</f>
        <v>1.1467648605996843</v>
      </c>
      <c r="Q25" s="14">
        <v>1.1352871521610421</v>
      </c>
      <c r="R25" s="14">
        <f>R11/R3</f>
        <v>0.8692086799490808</v>
      </c>
      <c r="S25" s="14">
        <v>0.7359989801988612</v>
      </c>
      <c r="T25" s="14">
        <f>T11/T3</f>
        <v>0.7882597621106255</v>
      </c>
      <c r="U25" s="14">
        <v>0.5751421608448416</v>
      </c>
      <c r="V25" s="14">
        <v>0.6728827651740111</v>
      </c>
      <c r="W25" s="14">
        <f>W11/W3</f>
        <v>0.871282255607378</v>
      </c>
      <c r="X25" s="14">
        <f>X11/X3</f>
        <v>1.1112584663477478</v>
      </c>
      <c r="Y25" s="14">
        <f>Y11/Y3</f>
        <v>1.1587279923570357</v>
      </c>
      <c r="Z25" s="53" t="s">
        <v>38</v>
      </c>
      <c r="AA25" s="19"/>
    </row>
    <row r="26" spans="1:26" s="18" customFormat="1" ht="16.5">
      <c r="A26" s="54" t="s">
        <v>21</v>
      </c>
      <c r="B26" s="1" t="s">
        <v>47</v>
      </c>
      <c r="C26" s="14" t="e">
        <f aca="true" t="shared" si="4" ref="C26:Y26">C13/C3</f>
        <v>#DIV/0!</v>
      </c>
      <c r="D26" s="14" t="e">
        <f t="shared" si="4"/>
        <v>#DIV/0!</v>
      </c>
      <c r="E26" s="14" t="e">
        <f t="shared" si="4"/>
        <v>#DIV/0!</v>
      </c>
      <c r="F26" s="14">
        <f t="shared" si="4"/>
        <v>2.1452513966480447</v>
      </c>
      <c r="G26" s="14">
        <f t="shared" si="4"/>
        <v>0.04258260749343288</v>
      </c>
      <c r="H26" s="14">
        <f t="shared" si="4"/>
        <v>0.09423828125</v>
      </c>
      <c r="I26" s="14">
        <f t="shared" si="4"/>
        <v>0.031068421676746116</v>
      </c>
      <c r="J26" s="14">
        <f t="shared" si="4"/>
        <v>0.033946251768033946</v>
      </c>
      <c r="K26" s="14">
        <f t="shared" si="4"/>
        <v>0.022416091118381196</v>
      </c>
      <c r="L26" s="14" t="e">
        <f t="shared" si="4"/>
        <v>#DIV/0!</v>
      </c>
      <c r="M26" s="14" t="e">
        <f t="shared" si="4"/>
        <v>#DIV/0!</v>
      </c>
      <c r="N26" s="14" t="e">
        <f t="shared" si="4"/>
        <v>#DIV/0!</v>
      </c>
      <c r="O26" s="14">
        <f>O13/O3</f>
        <v>0.061779565409329475</v>
      </c>
      <c r="P26" s="14">
        <f>P13/P3</f>
        <v>0.11993687532877433</v>
      </c>
      <c r="Q26" s="14">
        <v>0.11951281400659731</v>
      </c>
      <c r="R26" s="14">
        <f>R13/R3</f>
        <v>0.055437105894194615</v>
      </c>
      <c r="S26" s="14">
        <v>0.030806492733916887</v>
      </c>
      <c r="T26" s="13">
        <f>T13/T3</f>
        <v>0.03646086976842007</v>
      </c>
      <c r="U26" s="13">
        <v>0.06321953696181966</v>
      </c>
      <c r="V26" s="13">
        <v>0.07802094468860118</v>
      </c>
      <c r="W26" s="13">
        <f t="shared" si="4"/>
        <v>0.044413715517847514</v>
      </c>
      <c r="X26" s="13">
        <f t="shared" si="4"/>
        <v>0.07995074124946715</v>
      </c>
      <c r="Y26" s="13">
        <f t="shared" si="4"/>
        <v>0.1439879896274055</v>
      </c>
      <c r="Z26" s="53" t="s">
        <v>41</v>
      </c>
    </row>
    <row r="27" spans="1:26" s="18" customFormat="1" ht="16.5">
      <c r="A27" s="54" t="s">
        <v>32</v>
      </c>
      <c r="B27" s="45" t="s">
        <v>33</v>
      </c>
      <c r="C27" s="14" t="e">
        <f>C15/C3</f>
        <v>#DIV/0!</v>
      </c>
      <c r="D27" s="14" t="e">
        <f aca="true" t="shared" si="5" ref="D27:N27">D15/D3</f>
        <v>#DIV/0!</v>
      </c>
      <c r="E27" s="14" t="e">
        <f t="shared" si="5"/>
        <v>#DIV/0!</v>
      </c>
      <c r="F27" s="14">
        <f t="shared" si="5"/>
        <v>391.57166480446926</v>
      </c>
      <c r="G27" s="14">
        <f t="shared" si="5"/>
        <v>35.892</v>
      </c>
      <c r="H27" s="14">
        <f t="shared" si="5"/>
        <v>39.85451953125</v>
      </c>
      <c r="I27" s="14">
        <f t="shared" si="5"/>
        <v>49.255704257085256</v>
      </c>
      <c r="J27" s="14">
        <f t="shared" si="5"/>
        <v>49.18416973125884</v>
      </c>
      <c r="K27" s="14">
        <f t="shared" si="5"/>
        <v>0.234629225736096</v>
      </c>
      <c r="L27" s="14" t="e">
        <f t="shared" si="5"/>
        <v>#DIV/0!</v>
      </c>
      <c r="M27" s="14" t="e">
        <f t="shared" si="5"/>
        <v>#DIV/0!</v>
      </c>
      <c r="N27" s="14" t="e">
        <f t="shared" si="5"/>
        <v>#DIV/0!</v>
      </c>
      <c r="O27" s="14">
        <f>O15/O3</f>
        <v>37.78918116937264</v>
      </c>
      <c r="P27" s="14">
        <f>P15/P3</f>
        <v>43.97685428721726</v>
      </c>
      <c r="Q27" s="14">
        <v>44.044584369449375</v>
      </c>
      <c r="R27" s="14">
        <f>R15/R3</f>
        <v>48.94273391367418</v>
      </c>
      <c r="S27" s="14">
        <v>57.62809445908048</v>
      </c>
      <c r="T27" s="14">
        <f>T15/T3</f>
        <v>45.00844404668988</v>
      </c>
      <c r="U27" s="14">
        <v>41.73147925081235</v>
      </c>
      <c r="V27" s="14">
        <v>41.215742508017584</v>
      </c>
      <c r="W27" s="14">
        <f>W15/W3</f>
        <v>45.45925340427028</v>
      </c>
      <c r="X27" s="14">
        <f>X15/X3</f>
        <v>46.30114147681523</v>
      </c>
      <c r="Y27" s="14">
        <f>Y15/Y3</f>
        <v>46.21903257358628</v>
      </c>
      <c r="Z27" s="55" t="s">
        <v>42</v>
      </c>
    </row>
    <row r="28" spans="1:26" s="18" customFormat="1" ht="16.5">
      <c r="A28" s="183" t="s">
        <v>84</v>
      </c>
      <c r="B28" s="210" t="s">
        <v>98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>
        <v>0.9515351433646283</v>
      </c>
      <c r="R28" s="218">
        <f>R18/R3</f>
        <v>1.2137718700968056</v>
      </c>
      <c r="S28" s="218">
        <f aca="true" t="shared" si="6" ref="S28:Y28">S18/S3</f>
        <v>1.48720999405116</v>
      </c>
      <c r="T28" s="218">
        <f t="shared" si="6"/>
        <v>1.0749421634379455</v>
      </c>
      <c r="U28" s="218">
        <f t="shared" si="6"/>
        <v>0.8935824532900081</v>
      </c>
      <c r="V28" s="218">
        <f t="shared" si="6"/>
        <v>0.8314526665874807</v>
      </c>
      <c r="W28" s="218">
        <f t="shared" si="6"/>
        <v>2.125764642463731</v>
      </c>
      <c r="X28" s="218">
        <f t="shared" si="6"/>
        <v>2.024818831999242</v>
      </c>
      <c r="Y28" s="218">
        <f t="shared" si="6"/>
        <v>0</v>
      </c>
      <c r="Z28" s="219"/>
    </row>
    <row r="29" spans="1:26" s="18" customFormat="1" ht="16.5">
      <c r="A29" s="183" t="s">
        <v>96</v>
      </c>
      <c r="B29" s="210" t="s">
        <v>98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>
        <v>0.48634018438636556</v>
      </c>
      <c r="R29" s="218">
        <f>R19/R3</f>
        <v>0.5624796471180319</v>
      </c>
      <c r="S29" s="218">
        <f aca="true" t="shared" si="7" ref="S29:Y29">S19/S3</f>
        <v>0.594883997620464</v>
      </c>
      <c r="T29" s="218">
        <f t="shared" si="7"/>
        <v>0.3972612343140233</v>
      </c>
      <c r="U29" s="218">
        <f t="shared" si="7"/>
        <v>0.30463038180341184</v>
      </c>
      <c r="V29" s="218">
        <f>V19/V3</f>
        <v>0.2573543968008869</v>
      </c>
      <c r="W29" s="218">
        <f t="shared" si="7"/>
        <v>1.1024913867860406</v>
      </c>
      <c r="X29" s="218">
        <f t="shared" si="7"/>
        <v>0.9472836640932127</v>
      </c>
      <c r="Y29" s="218">
        <f t="shared" si="7"/>
        <v>0</v>
      </c>
      <c r="Z29" s="219"/>
    </row>
    <row r="30" spans="1:26" s="18" customFormat="1" ht="16.5">
      <c r="A30" s="183" t="s">
        <v>95</v>
      </c>
      <c r="B30" s="210" t="s">
        <v>98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>
        <v>0.16493275818320224</v>
      </c>
      <c r="R30" s="218">
        <f>R20/R3</f>
        <v>0.12433760620503863</v>
      </c>
      <c r="S30" s="218">
        <f aca="true" t="shared" si="8" ref="S30:Y30">S20/S3</f>
        <v>0.02549502846944846</v>
      </c>
      <c r="T30" s="218">
        <f t="shared" si="8"/>
        <v>0.09113640081321711</v>
      </c>
      <c r="U30" s="218">
        <f t="shared" si="8"/>
        <v>0.12266450040617384</v>
      </c>
      <c r="V30" s="218">
        <f t="shared" si="8"/>
        <v>0.13639783030447006</v>
      </c>
      <c r="W30" s="218">
        <f t="shared" si="8"/>
        <v>0.14273325989640706</v>
      </c>
      <c r="X30" s="218">
        <f t="shared" si="8"/>
        <v>0.15985411831572965</v>
      </c>
      <c r="Y30" s="218">
        <f t="shared" si="8"/>
        <v>0</v>
      </c>
      <c r="Z30" s="219"/>
    </row>
    <row r="31" spans="1:26" s="18" customFormat="1" ht="16.5">
      <c r="A31" s="183" t="s">
        <v>94</v>
      </c>
      <c r="B31" s="210" t="s">
        <v>98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>
        <v>0.011841326228537596</v>
      </c>
      <c r="R31" s="218">
        <f>R21/R3</f>
        <v>0.01983480860889902</v>
      </c>
      <c r="S31" s="218">
        <f aca="true" t="shared" si="9" ref="S31:Y31">S21/S3</f>
        <v>0.03654287413954279</v>
      </c>
      <c r="T31" s="218">
        <f t="shared" si="9"/>
        <v>0.014955717056527937</v>
      </c>
      <c r="U31" s="218">
        <f t="shared" si="9"/>
        <v>0.025893582453290008</v>
      </c>
      <c r="V31" s="218">
        <f t="shared" si="9"/>
        <v>0.024270499267529794</v>
      </c>
      <c r="W31" s="218">
        <f t="shared" si="9"/>
        <v>0.02624979492347716</v>
      </c>
      <c r="X31" s="218">
        <f t="shared" si="9"/>
        <v>0.037417704731681906</v>
      </c>
      <c r="Y31" s="218">
        <f t="shared" si="9"/>
        <v>0</v>
      </c>
      <c r="Z31" s="219"/>
    </row>
    <row r="32" spans="1:26" s="18" customFormat="1" ht="17.25" thickBot="1">
      <c r="A32" s="59" t="s">
        <v>26</v>
      </c>
      <c r="B32" s="16" t="s">
        <v>27</v>
      </c>
      <c r="C32" s="17" t="e">
        <f aca="true" t="shared" si="10" ref="C32:N32">C22/C4</f>
        <v>#DIV/0!</v>
      </c>
      <c r="D32" s="17" t="e">
        <f t="shared" si="10"/>
        <v>#DIV/0!</v>
      </c>
      <c r="E32" s="17" t="e">
        <f t="shared" si="10"/>
        <v>#DIV/0!</v>
      </c>
      <c r="F32" s="17">
        <f t="shared" si="10"/>
        <v>0</v>
      </c>
      <c r="G32" s="17">
        <f t="shared" si="10"/>
        <v>0</v>
      </c>
      <c r="H32" s="17">
        <f t="shared" si="10"/>
        <v>0</v>
      </c>
      <c r="I32" s="17">
        <f t="shared" si="10"/>
        <v>0</v>
      </c>
      <c r="J32" s="17">
        <f t="shared" si="10"/>
        <v>0</v>
      </c>
      <c r="K32" s="17">
        <f t="shared" si="10"/>
        <v>0</v>
      </c>
      <c r="L32" s="17" t="e">
        <f t="shared" si="10"/>
        <v>#DIV/0!</v>
      </c>
      <c r="M32" s="17" t="e">
        <f t="shared" si="10"/>
        <v>#DIV/0!</v>
      </c>
      <c r="N32" s="17" t="e">
        <f t="shared" si="10"/>
        <v>#DIV/0!</v>
      </c>
      <c r="O32" s="17">
        <f>O22/O4</f>
        <v>0</v>
      </c>
      <c r="P32" s="17"/>
      <c r="Q32" s="17"/>
      <c r="R32" s="17">
        <f>R22/R4</f>
        <v>0</v>
      </c>
      <c r="S32" s="17">
        <v>0</v>
      </c>
      <c r="T32" s="17">
        <v>0</v>
      </c>
      <c r="U32" s="17">
        <v>0</v>
      </c>
      <c r="V32" s="84">
        <v>0</v>
      </c>
      <c r="W32" s="17">
        <v>0</v>
      </c>
      <c r="X32" s="17"/>
      <c r="Y32" s="17">
        <v>0</v>
      </c>
      <c r="Z32" s="60" t="s">
        <v>45</v>
      </c>
    </row>
    <row r="33" spans="1:27" ht="18.75">
      <c r="A33" s="63" t="s">
        <v>65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9"/>
      <c r="O33" s="29"/>
      <c r="P33" s="29"/>
      <c r="Q33" s="29"/>
      <c r="R33" s="29"/>
      <c r="S33" s="29"/>
      <c r="T33" s="31"/>
      <c r="U33" s="31"/>
      <c r="V33" s="85"/>
      <c r="W33" s="31"/>
      <c r="X33" s="31"/>
      <c r="Y33" s="72"/>
      <c r="Z33" s="30"/>
      <c r="AA33" s="18"/>
    </row>
    <row r="34" spans="1:27" s="18" customFormat="1" ht="15">
      <c r="A34" s="54" t="s">
        <v>17</v>
      </c>
      <c r="B34" s="2" t="s">
        <v>60</v>
      </c>
      <c r="C34" s="13" t="e">
        <f>C6/C4</f>
        <v>#DIV/0!</v>
      </c>
      <c r="D34" s="13" t="e">
        <f>D6/D4</f>
        <v>#DIV/0!</v>
      </c>
      <c r="E34" s="13" t="e">
        <f aca="true" t="shared" si="11" ref="E34:Y34">E6/E4</f>
        <v>#DIV/0!</v>
      </c>
      <c r="F34" s="13">
        <f t="shared" si="11"/>
        <v>144.5776805251641</v>
      </c>
      <c r="G34" s="13">
        <f t="shared" si="11"/>
        <v>14.670576791027695</v>
      </c>
      <c r="H34" s="13">
        <f t="shared" si="11"/>
        <v>14.381558265582656</v>
      </c>
      <c r="I34" s="13">
        <f t="shared" si="11"/>
        <v>15.287725538142343</v>
      </c>
      <c r="J34" s="13">
        <f t="shared" si="11"/>
        <v>14.98621712549289</v>
      </c>
      <c r="K34" s="13">
        <f t="shared" si="11"/>
        <v>0</v>
      </c>
      <c r="L34" s="13" t="e">
        <f t="shared" si="11"/>
        <v>#DIV/0!</v>
      </c>
      <c r="M34" s="13" t="e">
        <f t="shared" si="11"/>
        <v>#DIV/0!</v>
      </c>
      <c r="N34" s="13" t="e">
        <f t="shared" si="11"/>
        <v>#DIV/0!</v>
      </c>
      <c r="O34" s="13">
        <f>O6/O4</f>
        <v>13.214401514754899</v>
      </c>
      <c r="P34" s="13">
        <f>P6/P4</f>
        <v>15.33182992088478</v>
      </c>
      <c r="Q34" s="13">
        <v>15.28717503174497</v>
      </c>
      <c r="R34" s="13">
        <f>R6/R4</f>
        <v>18.055284182189222</v>
      </c>
      <c r="S34" s="13">
        <v>20.388968619154003</v>
      </c>
      <c r="T34" s="13">
        <f>T6/T4</f>
        <v>15.625225004090984</v>
      </c>
      <c r="U34" s="13">
        <v>14.355407746038958</v>
      </c>
      <c r="V34" s="13">
        <v>14.552040845431986</v>
      </c>
      <c r="W34" s="13">
        <f t="shared" si="11"/>
        <v>15.829670918640797</v>
      </c>
      <c r="X34" s="13">
        <f t="shared" si="11"/>
        <v>16.190658358530595</v>
      </c>
      <c r="Y34" s="13">
        <f t="shared" si="11"/>
        <v>15.962911228956365</v>
      </c>
      <c r="Z34" s="55" t="s">
        <v>36</v>
      </c>
      <c r="AA34" s="19"/>
    </row>
    <row r="35" spans="1:27" s="18" customFormat="1" ht="16.5">
      <c r="A35" s="54" t="s">
        <v>19</v>
      </c>
      <c r="B35" s="1" t="s">
        <v>61</v>
      </c>
      <c r="C35" s="14" t="e">
        <f>C11/C4</f>
        <v>#DIV/0!</v>
      </c>
      <c r="D35" s="14" t="e">
        <f aca="true" t="shared" si="12" ref="D35:Y35">D11/D4</f>
        <v>#DIV/0!</v>
      </c>
      <c r="E35" s="14" t="e">
        <f t="shared" si="12"/>
        <v>#DIV/0!</v>
      </c>
      <c r="F35" s="14">
        <f t="shared" si="12"/>
        <v>0</v>
      </c>
      <c r="G35" s="14">
        <f t="shared" si="12"/>
        <v>0</v>
      </c>
      <c r="H35" s="14">
        <f t="shared" si="12"/>
        <v>0</v>
      </c>
      <c r="I35" s="14">
        <f t="shared" si="12"/>
        <v>0</v>
      </c>
      <c r="J35" s="14">
        <f t="shared" si="12"/>
        <v>0</v>
      </c>
      <c r="K35" s="14">
        <f t="shared" si="12"/>
        <v>0</v>
      </c>
      <c r="L35" s="14" t="e">
        <f t="shared" si="12"/>
        <v>#DIV/0!</v>
      </c>
      <c r="M35" s="14" t="e">
        <f t="shared" si="12"/>
        <v>#DIV/0!</v>
      </c>
      <c r="N35" s="14" t="e">
        <f t="shared" si="12"/>
        <v>#DIV/0!</v>
      </c>
      <c r="O35" s="14">
        <f>O11/O4</f>
        <v>0</v>
      </c>
      <c r="P35" s="14">
        <f>P11/P4</f>
        <v>0.40562365567389347</v>
      </c>
      <c r="Q35" s="14">
        <v>0.3986871319625446</v>
      </c>
      <c r="R35" s="14">
        <f>R11/R4</f>
        <v>0.31871173635534716</v>
      </c>
      <c r="S35" s="14">
        <v>0.25626951131101217</v>
      </c>
      <c r="T35" s="14">
        <f>T11/T4</f>
        <v>0.2759941089837997</v>
      </c>
      <c r="U35" s="14">
        <v>0.2010335623828724</v>
      </c>
      <c r="V35" s="14">
        <v>0.24237713568555863</v>
      </c>
      <c r="W35" s="14">
        <f t="shared" si="12"/>
        <v>0.306529679988786</v>
      </c>
      <c r="X35" s="14">
        <f t="shared" si="12"/>
        <v>0.3919413307495698</v>
      </c>
      <c r="Y35" s="14">
        <f t="shared" si="12"/>
        <v>0.4136855697312749</v>
      </c>
      <c r="Z35" s="53" t="s">
        <v>38</v>
      </c>
      <c r="AA35" s="19"/>
    </row>
    <row r="36" spans="1:26" s="18" customFormat="1" ht="16.5">
      <c r="A36" s="54" t="s">
        <v>21</v>
      </c>
      <c r="B36" s="1" t="s">
        <v>62</v>
      </c>
      <c r="C36" s="14" t="e">
        <f>C13/C4</f>
        <v>#DIV/0!</v>
      </c>
      <c r="D36" s="14" t="e">
        <f aca="true" t="shared" si="13" ref="D36:N36">D13/D4</f>
        <v>#DIV/0!</v>
      </c>
      <c r="E36" s="14" t="e">
        <f t="shared" si="13"/>
        <v>#DIV/0!</v>
      </c>
      <c r="F36" s="14">
        <f t="shared" si="13"/>
        <v>0.8402625820568927</v>
      </c>
      <c r="G36" s="14">
        <f t="shared" si="13"/>
        <v>0.017624170290684367</v>
      </c>
      <c r="H36" s="14">
        <f t="shared" si="13"/>
        <v>0.034869015356820236</v>
      </c>
      <c r="I36" s="14">
        <f t="shared" si="13"/>
        <v>0.009706939350153754</v>
      </c>
      <c r="J36" s="14">
        <f t="shared" si="13"/>
        <v>0.010418550808522954</v>
      </c>
      <c r="K36" s="14">
        <f t="shared" si="13"/>
        <v>0.009296949595457057</v>
      </c>
      <c r="L36" s="14" t="e">
        <f t="shared" si="13"/>
        <v>#DIV/0!</v>
      </c>
      <c r="M36" s="14" t="e">
        <f t="shared" si="13"/>
        <v>#DIV/0!</v>
      </c>
      <c r="N36" s="14" t="e">
        <f t="shared" si="13"/>
        <v>#DIV/0!</v>
      </c>
      <c r="O36" s="14">
        <f>O13/O4</f>
        <v>0.02197965202519938</v>
      </c>
      <c r="P36" s="14">
        <f>P13/P4</f>
        <v>0.04242302453837051</v>
      </c>
      <c r="Q36" s="14">
        <v>0.04197019314308628</v>
      </c>
      <c r="R36" s="14">
        <f>R13/R4</f>
        <v>0.020327059181103727</v>
      </c>
      <c r="S36" s="14">
        <v>0.010726597523265621</v>
      </c>
      <c r="T36" s="14">
        <f>T13/T4</f>
        <v>0.012766077565046637</v>
      </c>
      <c r="U36" s="14">
        <v>0.02209757794309728</v>
      </c>
      <c r="V36" s="14">
        <v>0.028103696625688127</v>
      </c>
      <c r="W36" s="14">
        <f>W13/W4</f>
        <v>0.01562538651186952</v>
      </c>
      <c r="X36" s="14">
        <f>X13/X4</f>
        <v>0.028198660229531748</v>
      </c>
      <c r="Y36" s="14">
        <f>Y13/Y4</f>
        <v>0.05140615736943405</v>
      </c>
      <c r="Z36" s="53" t="s">
        <v>41</v>
      </c>
    </row>
    <row r="37" spans="1:26" s="18" customFormat="1" ht="16.5">
      <c r="A37" s="54" t="s">
        <v>32</v>
      </c>
      <c r="B37" s="45" t="s">
        <v>63</v>
      </c>
      <c r="C37" s="14" t="e">
        <f>C15/C4</f>
        <v>#DIV/0!</v>
      </c>
      <c r="D37" s="14" t="e">
        <f aca="true" t="shared" si="14" ref="D37:N37">D15/D4</f>
        <v>#DIV/0!</v>
      </c>
      <c r="E37" s="14" t="e">
        <f t="shared" si="14"/>
        <v>#DIV/0!</v>
      </c>
      <c r="F37" s="14">
        <f t="shared" si="14"/>
        <v>153.3727089715536</v>
      </c>
      <c r="G37" s="14">
        <f t="shared" si="14"/>
        <v>14.855048981460289</v>
      </c>
      <c r="H37" s="14">
        <f t="shared" si="14"/>
        <v>14.746532249322494</v>
      </c>
      <c r="I37" s="14">
        <f t="shared" si="14"/>
        <v>15.389328072320403</v>
      </c>
      <c r="J37" s="14">
        <f t="shared" si="14"/>
        <v>15.0952680968057</v>
      </c>
      <c r="K37" s="14">
        <f t="shared" si="14"/>
        <v>0.09731117141564904</v>
      </c>
      <c r="L37" s="14" t="e">
        <f t="shared" si="14"/>
        <v>#DIV/0!</v>
      </c>
      <c r="M37" s="14" t="e">
        <f t="shared" si="14"/>
        <v>#DIV/0!</v>
      </c>
      <c r="N37" s="14" t="e">
        <f t="shared" si="14"/>
        <v>#DIV/0!</v>
      </c>
      <c r="O37" s="14">
        <f>O15/O4</f>
        <v>13.444462532502662</v>
      </c>
      <c r="P37" s="14">
        <f>P15/P4</f>
        <v>15.55510899740252</v>
      </c>
      <c r="Q37" s="14">
        <v>15.467460357771392</v>
      </c>
      <c r="R37" s="14">
        <f>R15/R4</f>
        <v>17.94577535571621</v>
      </c>
      <c r="S37" s="14">
        <v>20.065684874757725</v>
      </c>
      <c r="T37" s="14">
        <f>T15/T4</f>
        <v>15.758847537964328</v>
      </c>
      <c r="U37" s="14">
        <v>14.586703094369359</v>
      </c>
      <c r="V37" s="14">
        <v>14.846202238013065</v>
      </c>
      <c r="W37" s="14">
        <f>W15/W4</f>
        <v>15.993221839260537</v>
      </c>
      <c r="X37" s="14">
        <f>X15/X4</f>
        <v>16.33043216785553</v>
      </c>
      <c r="Y37" s="14">
        <f>Y15/Y4</f>
        <v>16.500979478142234</v>
      </c>
      <c r="Z37" s="55" t="s">
        <v>42</v>
      </c>
    </row>
    <row r="38" spans="1:26" s="18" customFormat="1" ht="16.5">
      <c r="A38" s="183" t="s">
        <v>84</v>
      </c>
      <c r="B38" s="210" t="s">
        <v>99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>
        <v>0.3341575887188398</v>
      </c>
      <c r="R38" s="148">
        <f>R18/R4</f>
        <v>0.4450523207850289</v>
      </c>
      <c r="S38" s="148">
        <f aca="true" t="shared" si="15" ref="S38:Y38">S18/S4</f>
        <v>0.5178357425024782</v>
      </c>
      <c r="T38" s="148">
        <f t="shared" si="15"/>
        <v>0.37637047946326296</v>
      </c>
      <c r="U38" s="148">
        <f t="shared" si="15"/>
        <v>0.31234028053836105</v>
      </c>
      <c r="V38" s="148">
        <f t="shared" si="15"/>
        <v>0.2994951367694458</v>
      </c>
      <c r="W38" s="148">
        <f t="shared" si="15"/>
        <v>0.7478747000667892</v>
      </c>
      <c r="X38" s="148">
        <f t="shared" si="15"/>
        <v>0.7141544578272999</v>
      </c>
      <c r="Y38" s="148">
        <f t="shared" si="15"/>
        <v>0</v>
      </c>
      <c r="Z38" s="222"/>
    </row>
    <row r="39" spans="1:26" s="18" customFormat="1" ht="16.5">
      <c r="A39" s="183" t="s">
        <v>96</v>
      </c>
      <c r="B39" s="210" t="s">
        <v>99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>
        <v>0.1707916564562959</v>
      </c>
      <c r="R39" s="229">
        <f>R19/R4</f>
        <v>0.20624375841257436</v>
      </c>
      <c r="S39" s="229">
        <f aca="true" t="shared" si="16" ref="S39:Y39">S19/S4</f>
        <v>0.20713429700099129</v>
      </c>
      <c r="T39" s="229">
        <f t="shared" si="16"/>
        <v>0.13909343806251023</v>
      </c>
      <c r="U39" s="229">
        <f t="shared" si="16"/>
        <v>0.10647964109262309</v>
      </c>
      <c r="V39" s="229">
        <f t="shared" si="16"/>
        <v>0.09270087566673323</v>
      </c>
      <c r="W39" s="229">
        <f t="shared" si="16"/>
        <v>0.3878723913025553</v>
      </c>
      <c r="X39" s="229">
        <f t="shared" si="16"/>
        <v>0.33410734869113445</v>
      </c>
      <c r="Y39" s="229">
        <f t="shared" si="16"/>
        <v>0</v>
      </c>
      <c r="Z39" s="222"/>
    </row>
    <row r="40" spans="1:26" s="18" customFormat="1" ht="16.5">
      <c r="A40" s="183" t="s">
        <v>95</v>
      </c>
      <c r="B40" s="210" t="s">
        <v>99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>
        <v>0.057920648711265565</v>
      </c>
      <c r="R40" s="148">
        <f>R20/R4</f>
        <v>0.04559072554383223</v>
      </c>
      <c r="S40" s="148">
        <f aca="true" t="shared" si="17" ref="S40:Y40">S20/S4</f>
        <v>0.008877184157185341</v>
      </c>
      <c r="T40" s="148">
        <f t="shared" si="17"/>
        <v>0.031909671084928815</v>
      </c>
      <c r="U40" s="148">
        <f t="shared" si="17"/>
        <v>0.04287580214662957</v>
      </c>
      <c r="V40" s="148">
        <f t="shared" si="17"/>
        <v>0.049131464103368605</v>
      </c>
      <c r="W40" s="148">
        <f t="shared" si="17"/>
        <v>0.05021562208827725</v>
      </c>
      <c r="X40" s="148">
        <f t="shared" si="17"/>
        <v>0.05638061509162894</v>
      </c>
      <c r="Y40" s="148">
        <f t="shared" si="17"/>
        <v>0</v>
      </c>
      <c r="Z40" s="222"/>
    </row>
    <row r="41" spans="1:26" s="18" customFormat="1" ht="16.5">
      <c r="A41" s="183" t="s">
        <v>94</v>
      </c>
      <c r="B41" s="210" t="s">
        <v>99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>
        <v>0.004158405548501117</v>
      </c>
      <c r="R41" s="148">
        <f>R21/R4</f>
        <v>0.0072728062177065695</v>
      </c>
      <c r="S41" s="148">
        <f aca="true" t="shared" si="18" ref="S41:Y41">S21/S4</f>
        <v>0.012723963958632322</v>
      </c>
      <c r="T41" s="148">
        <f t="shared" si="18"/>
        <v>0.005236458844706267</v>
      </c>
      <c r="U41" s="148">
        <f t="shared" si="18"/>
        <v>0.009050769492872963</v>
      </c>
      <c r="V41" s="148">
        <f t="shared" si="18"/>
        <v>0.008742405659031918</v>
      </c>
      <c r="W41" s="148">
        <f t="shared" si="18"/>
        <v>0.009235056935775126</v>
      </c>
      <c r="X41" s="148">
        <f t="shared" si="18"/>
        <v>0.01319724027329981</v>
      </c>
      <c r="Y41" s="148">
        <f t="shared" si="18"/>
        <v>0</v>
      </c>
      <c r="Z41" s="222"/>
    </row>
    <row r="42" spans="13:26" ht="15">
      <c r="M42" s="22"/>
      <c r="Z42" s="22"/>
    </row>
    <row r="43" spans="13:26" ht="15">
      <c r="M43" s="22"/>
      <c r="N43" s="29"/>
      <c r="O43" s="29"/>
      <c r="P43" s="29"/>
      <c r="Q43" s="29"/>
      <c r="R43" s="29"/>
      <c r="S43" s="29"/>
      <c r="T43" s="31"/>
      <c r="U43" s="31"/>
      <c r="V43" s="31"/>
      <c r="W43" s="31"/>
      <c r="X43" s="31"/>
      <c r="Y43" s="72"/>
      <c r="Z43" s="30"/>
    </row>
    <row r="44" ht="15">
      <c r="Z44" s="22"/>
    </row>
    <row r="45" ht="15">
      <c r="Z45" s="22"/>
    </row>
  </sheetData>
  <sheetProtection/>
  <mergeCells count="2">
    <mergeCell ref="A1:T1"/>
    <mergeCell ref="B3:B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="142" zoomScaleNormal="142" zoomScalePageLayoutView="0" workbookViewId="0" topLeftCell="A1">
      <selection activeCell="P14" sqref="P14"/>
    </sheetView>
  </sheetViews>
  <sheetFormatPr defaultColWidth="9.140625" defaultRowHeight="15"/>
  <cols>
    <col min="1" max="1" width="17.421875" style="33" customWidth="1"/>
    <col min="2" max="2" width="7.7109375" style="34" customWidth="1"/>
    <col min="3" max="5" width="7.28125" style="35" bestFit="1" customWidth="1"/>
    <col min="6" max="9" width="8.00390625" style="35" bestFit="1" customWidth="1"/>
    <col min="10" max="10" width="9.57421875" style="35" customWidth="1"/>
    <col min="11" max="11" width="9.140625" style="35" customWidth="1"/>
    <col min="12" max="12" width="8.7109375" style="35" customWidth="1"/>
    <col min="13" max="13" width="9.7109375" style="35" customWidth="1"/>
    <col min="14" max="14" width="7.57421875" style="35" customWidth="1"/>
    <col min="15" max="15" width="10.28125" style="35" bestFit="1" customWidth="1"/>
    <col min="16" max="18" width="10.28125" style="35" customWidth="1"/>
    <col min="19" max="23" width="11.00390625" style="66" customWidth="1"/>
    <col min="24" max="24" width="10.57421875" style="66" customWidth="1"/>
    <col min="25" max="25" width="19.28125" style="36" customWidth="1"/>
    <col min="26" max="26" width="10.00390625" style="32" bestFit="1" customWidth="1"/>
    <col min="27" max="16384" width="9.140625" style="32" customWidth="1"/>
  </cols>
  <sheetData>
    <row r="1" spans="1:26" s="18" customFormat="1" ht="18">
      <c r="A1" s="236" t="s">
        <v>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51"/>
      <c r="U1" s="51"/>
      <c r="V1" s="51"/>
      <c r="W1" s="51"/>
      <c r="X1" s="68"/>
      <c r="Y1" s="52"/>
      <c r="Z1" s="19"/>
    </row>
    <row r="2" spans="1:25" s="18" customFormat="1" ht="24.75" customHeight="1">
      <c r="A2" s="61" t="s">
        <v>100</v>
      </c>
      <c r="B2" s="1" t="s">
        <v>0</v>
      </c>
      <c r="C2" s="38" t="s">
        <v>1</v>
      </c>
      <c r="D2" s="38" t="s">
        <v>2</v>
      </c>
      <c r="E2" s="38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62" t="s">
        <v>102</v>
      </c>
      <c r="P2" s="62" t="s">
        <v>101</v>
      </c>
      <c r="Q2" s="20" t="s">
        <v>104</v>
      </c>
      <c r="R2" s="20" t="s">
        <v>79</v>
      </c>
      <c r="S2" s="20" t="s">
        <v>77</v>
      </c>
      <c r="T2" s="20" t="s">
        <v>72</v>
      </c>
      <c r="U2" s="20" t="s">
        <v>67</v>
      </c>
      <c r="V2" s="20" t="s">
        <v>58</v>
      </c>
      <c r="W2" s="20" t="s">
        <v>55</v>
      </c>
      <c r="X2" s="20" t="s">
        <v>44</v>
      </c>
      <c r="Y2" s="53"/>
    </row>
    <row r="3" spans="1:26" s="18" customFormat="1" ht="16.5">
      <c r="A3" s="54" t="s">
        <v>13</v>
      </c>
      <c r="B3" s="238" t="s">
        <v>14</v>
      </c>
      <c r="C3" s="3">
        <v>0</v>
      </c>
      <c r="D3" s="3">
        <v>0</v>
      </c>
      <c r="E3" s="3">
        <v>0</v>
      </c>
      <c r="F3" s="3">
        <v>0</v>
      </c>
      <c r="G3" s="3">
        <v>6673</v>
      </c>
      <c r="H3" s="3">
        <v>8138</v>
      </c>
      <c r="I3" s="3">
        <v>8377</v>
      </c>
      <c r="J3" s="3">
        <v>8516</v>
      </c>
      <c r="K3" s="3">
        <v>8126</v>
      </c>
      <c r="L3" s="3">
        <v>7462</v>
      </c>
      <c r="M3" s="3">
        <v>0</v>
      </c>
      <c r="N3" s="3">
        <v>0</v>
      </c>
      <c r="O3" s="40">
        <f>SUM(A3:L3)</f>
        <v>47292</v>
      </c>
      <c r="P3" s="40">
        <v>47292</v>
      </c>
      <c r="Q3" s="40">
        <f>'TRAVELIFE CONSUPTION 2021'!O3</f>
        <v>33779</v>
      </c>
      <c r="R3" s="40">
        <v>23534</v>
      </c>
      <c r="S3" s="40">
        <f>'TRAVELIFE CONSUPTION 2019'!O3</f>
        <v>42793</v>
      </c>
      <c r="T3" s="21">
        <v>49240</v>
      </c>
      <c r="U3" s="80">
        <v>50514</v>
      </c>
      <c r="V3" s="21">
        <v>42667</v>
      </c>
      <c r="W3" s="21">
        <f>'ATLANTICA MIKRI POLI CRETE 2015'!O3</f>
        <v>42226</v>
      </c>
      <c r="X3" s="69">
        <v>43962</v>
      </c>
      <c r="Y3" s="53"/>
      <c r="Z3" s="19"/>
    </row>
    <row r="4" spans="1:26" s="18" customFormat="1" ht="16.5">
      <c r="A4" s="54" t="s">
        <v>15</v>
      </c>
      <c r="B4" s="238"/>
      <c r="C4" s="3">
        <v>0</v>
      </c>
      <c r="D4" s="3">
        <v>0</v>
      </c>
      <c r="E4" s="3">
        <v>0</v>
      </c>
      <c r="F4" s="3">
        <v>0</v>
      </c>
      <c r="G4" s="3">
        <v>15840</v>
      </c>
      <c r="H4" s="3">
        <v>23827</v>
      </c>
      <c r="I4" s="3">
        <v>26818</v>
      </c>
      <c r="J4" s="3">
        <v>28352</v>
      </c>
      <c r="K4" s="3">
        <v>19086</v>
      </c>
      <c r="L4" s="3">
        <v>20744</v>
      </c>
      <c r="M4" s="3">
        <v>0</v>
      </c>
      <c r="N4" s="3">
        <v>0</v>
      </c>
      <c r="O4" s="40">
        <f>SUM(A4:L4)</f>
        <v>134667</v>
      </c>
      <c r="P4" s="40">
        <v>134667</v>
      </c>
      <c r="Q4" s="40">
        <f>'TRAVELIFE CONSUPTION 2021'!O4</f>
        <v>92124</v>
      </c>
      <c r="R4" s="40">
        <v>67589</v>
      </c>
      <c r="S4" s="40">
        <f>'TRAVELIFE CONSUPTION 2019'!O4</f>
        <v>122220</v>
      </c>
      <c r="T4" s="21">
        <v>140872</v>
      </c>
      <c r="U4" s="80">
        <v>140236</v>
      </c>
      <c r="V4" s="21">
        <v>121277</v>
      </c>
      <c r="W4" s="21">
        <f>'ATLANTICA MIKRI POLI CRETE 2015'!O4</f>
        <v>119722</v>
      </c>
      <c r="X4" s="69">
        <v>123137</v>
      </c>
      <c r="Y4" s="53"/>
      <c r="Z4" s="19"/>
    </row>
    <row r="5" spans="1:26" s="18" customFormat="1" ht="16.5">
      <c r="A5" s="63" t="s">
        <v>16</v>
      </c>
      <c r="B5" s="41"/>
      <c r="C5" s="3"/>
      <c r="D5" s="3"/>
      <c r="E5" s="3"/>
      <c r="F5" s="42"/>
      <c r="G5" s="42"/>
      <c r="H5" s="42"/>
      <c r="I5" s="42"/>
      <c r="J5" s="42"/>
      <c r="K5" s="42"/>
      <c r="L5" s="42"/>
      <c r="M5" s="42"/>
      <c r="N5" s="43"/>
      <c r="O5" s="44"/>
      <c r="P5" s="44"/>
      <c r="Q5" s="40">
        <f>'TRAVELIFE CONSUPTION 2021'!O5</f>
        <v>0</v>
      </c>
      <c r="R5" s="44"/>
      <c r="S5" s="65"/>
      <c r="T5" s="65"/>
      <c r="U5" s="81"/>
      <c r="V5" s="65"/>
      <c r="W5" s="65"/>
      <c r="X5" s="65"/>
      <c r="Y5" s="53"/>
      <c r="Z5" s="19"/>
    </row>
    <row r="6" spans="1:26" s="25" customFormat="1" ht="15">
      <c r="A6" s="54" t="s">
        <v>17</v>
      </c>
      <c r="B6" s="45" t="s">
        <v>18</v>
      </c>
      <c r="C6" s="5">
        <v>19680</v>
      </c>
      <c r="D6" s="5">
        <v>14052</v>
      </c>
      <c r="E6" s="5">
        <v>17531</v>
      </c>
      <c r="F6" s="5">
        <v>56640</v>
      </c>
      <c r="G6" s="5">
        <v>256704</v>
      </c>
      <c r="H6" s="5">
        <v>316698</v>
      </c>
      <c r="I6" s="5">
        <v>366748</v>
      </c>
      <c r="J6" s="6">
        <v>375635</v>
      </c>
      <c r="K6" s="6">
        <v>316114</v>
      </c>
      <c r="L6" s="6">
        <v>283995</v>
      </c>
      <c r="M6" s="6">
        <v>23024</v>
      </c>
      <c r="N6" s="6">
        <v>11857</v>
      </c>
      <c r="O6" s="6">
        <f>SUM(A6:N6)</f>
        <v>2058678</v>
      </c>
      <c r="P6" s="6">
        <v>2060000</v>
      </c>
      <c r="Q6" s="40">
        <f>'TRAVELIFE CONSUPTION 2021'!O6</f>
        <v>1663325</v>
      </c>
      <c r="R6" s="6">
        <v>1378070</v>
      </c>
      <c r="S6" s="23">
        <f>'TRAVELIFE CONSUPTION 2019'!O6</f>
        <v>1909715</v>
      </c>
      <c r="T6" s="23">
        <v>2022275</v>
      </c>
      <c r="U6" s="86">
        <v>2040720</v>
      </c>
      <c r="V6" s="23">
        <v>1919775</v>
      </c>
      <c r="W6" s="23">
        <f>'ATLANTICA MIKRI POLI CRETE 2015'!O6</f>
        <v>1938378</v>
      </c>
      <c r="X6" s="23">
        <v>1965625</v>
      </c>
      <c r="Y6" s="53" t="s">
        <v>36</v>
      </c>
      <c r="Z6" s="24">
        <f>T6/T3</f>
        <v>41.06976035743298</v>
      </c>
    </row>
    <row r="7" spans="1:26" s="25" customFormat="1" ht="15">
      <c r="A7" s="54" t="s">
        <v>17</v>
      </c>
      <c r="B7" s="45" t="s">
        <v>30</v>
      </c>
      <c r="C7" s="7">
        <v>4723.84</v>
      </c>
      <c r="D7" s="7">
        <v>2307.26</v>
      </c>
      <c r="E7" s="7">
        <v>4722.28</v>
      </c>
      <c r="F7" s="7">
        <v>2364.98</v>
      </c>
      <c r="G7" s="7">
        <v>5453.33</v>
      </c>
      <c r="H7" s="7">
        <v>19766.6</v>
      </c>
      <c r="I7" s="7">
        <v>39201</v>
      </c>
      <c r="J7" s="8">
        <v>15858</v>
      </c>
      <c r="K7" s="8">
        <v>44657</v>
      </c>
      <c r="L7" s="8">
        <v>125397</v>
      </c>
      <c r="M7" s="8">
        <v>129060</v>
      </c>
      <c r="N7" s="8">
        <v>58260</v>
      </c>
      <c r="O7" s="6">
        <f>SUM(A7:N7)</f>
        <v>451771.29000000004</v>
      </c>
      <c r="P7" s="6">
        <v>455000</v>
      </c>
      <c r="Q7" s="40">
        <f>'TRAVELIFE CONSUPTION 2021'!O7</f>
        <v>299169.31</v>
      </c>
      <c r="R7" s="6">
        <v>160416.94</v>
      </c>
      <c r="S7" s="87">
        <f>'TRAVELIFE CONSUPTION 2019'!O7</f>
        <v>191938.01</v>
      </c>
      <c r="T7" s="23">
        <v>214290</v>
      </c>
      <c r="U7" s="86">
        <v>224822</v>
      </c>
      <c r="V7" s="23">
        <v>207617</v>
      </c>
      <c r="W7" s="23">
        <f>'ATLANTICA MIKRI POLI CRETE 2015'!O7</f>
        <v>243776</v>
      </c>
      <c r="X7" s="23">
        <v>252347</v>
      </c>
      <c r="Y7" s="53" t="s">
        <v>36</v>
      </c>
      <c r="Z7" s="24">
        <f>T6/T4</f>
        <v>14.355407746038958</v>
      </c>
    </row>
    <row r="8" spans="1:26" s="25" customFormat="1" ht="15">
      <c r="A8" s="64" t="s">
        <v>31</v>
      </c>
      <c r="B8" s="45" t="s">
        <v>30</v>
      </c>
      <c r="C8" s="7">
        <v>2500</v>
      </c>
      <c r="D8" s="7">
        <v>2500</v>
      </c>
      <c r="E8" s="7">
        <v>2500</v>
      </c>
      <c r="F8" s="7">
        <v>7293</v>
      </c>
      <c r="G8" s="7">
        <v>40215</v>
      </c>
      <c r="H8" s="7">
        <v>42305</v>
      </c>
      <c r="I8" s="7">
        <v>50640</v>
      </c>
      <c r="J8" s="8">
        <v>50670</v>
      </c>
      <c r="K8" s="8">
        <v>47310</v>
      </c>
      <c r="L8" s="8">
        <v>32972</v>
      </c>
      <c r="M8" s="8">
        <v>2500</v>
      </c>
      <c r="N8" s="8">
        <v>2500</v>
      </c>
      <c r="O8" s="8">
        <f>SUM(C8:N8)</f>
        <v>283905</v>
      </c>
      <c r="P8" s="8">
        <v>283905</v>
      </c>
      <c r="Q8" s="231">
        <f>'TRAVELIFE CONSUPTION 2021'!O8</f>
        <v>191545</v>
      </c>
      <c r="R8" s="8">
        <v>224440</v>
      </c>
      <c r="S8" s="87">
        <f>'TRAVELIFE CONSUPTION 2019'!O8</f>
        <v>220768</v>
      </c>
      <c r="T8" s="26">
        <v>219843</v>
      </c>
      <c r="U8" s="26">
        <v>224822</v>
      </c>
      <c r="V8" s="26">
        <v>207618</v>
      </c>
      <c r="W8" s="26">
        <v>243776</v>
      </c>
      <c r="X8" s="26">
        <v>252347</v>
      </c>
      <c r="Y8" s="53" t="s">
        <v>36</v>
      </c>
      <c r="Z8" s="24"/>
    </row>
    <row r="9" spans="1:26" s="25" customFormat="1" ht="15">
      <c r="A9" s="54" t="s">
        <v>48</v>
      </c>
      <c r="B9" s="46" t="s">
        <v>20</v>
      </c>
      <c r="C9" s="9">
        <v>200</v>
      </c>
      <c r="D9" s="9">
        <v>254</v>
      </c>
      <c r="E9" s="9">
        <v>118</v>
      </c>
      <c r="F9" s="9">
        <v>1181</v>
      </c>
      <c r="G9" s="9">
        <v>8783</v>
      </c>
      <c r="H9" s="9">
        <v>11375</v>
      </c>
      <c r="I9" s="9">
        <v>12465</v>
      </c>
      <c r="J9" s="9">
        <v>12879</v>
      </c>
      <c r="K9" s="9">
        <v>1706</v>
      </c>
      <c r="L9" s="9">
        <v>2311</v>
      </c>
      <c r="M9" s="27">
        <v>420</v>
      </c>
      <c r="N9" s="27">
        <v>0</v>
      </c>
      <c r="O9" s="21">
        <f>SUM(A9:N9)</f>
        <v>51692</v>
      </c>
      <c r="P9" s="21">
        <v>52000</v>
      </c>
      <c r="Q9" s="40">
        <f>'TRAVELIFE CONSUPTION 2021'!O9</f>
        <v>27568</v>
      </c>
      <c r="R9" s="21">
        <v>15772</v>
      </c>
      <c r="S9" s="23">
        <f>'TRAVELIFE CONSUPTION 2019'!O9</f>
        <v>30343</v>
      </c>
      <c r="T9" s="21">
        <v>26713</v>
      </c>
      <c r="U9" s="21">
        <v>31913</v>
      </c>
      <c r="V9" s="21">
        <v>34637</v>
      </c>
      <c r="W9" s="21">
        <f>'ATLANTICA MIKRI POLI CRETE 2015'!O9</f>
        <v>43354</v>
      </c>
      <c r="X9" s="69">
        <v>49194</v>
      </c>
      <c r="Y9" s="55" t="s">
        <v>37</v>
      </c>
      <c r="Z9" s="24">
        <f>T11/T3</f>
        <v>0.5751421608448416</v>
      </c>
    </row>
    <row r="10" spans="1:26" s="25" customFormat="1" ht="15">
      <c r="A10" s="54" t="s">
        <v>49</v>
      </c>
      <c r="B10" s="46" t="s">
        <v>20</v>
      </c>
      <c r="C10" s="9">
        <v>295</v>
      </c>
      <c r="D10" s="9">
        <v>145</v>
      </c>
      <c r="E10" s="9">
        <v>117</v>
      </c>
      <c r="F10" s="9">
        <v>64</v>
      </c>
      <c r="G10" s="9">
        <v>32</v>
      </c>
      <c r="H10" s="9">
        <v>139</v>
      </c>
      <c r="I10" s="9">
        <v>452</v>
      </c>
      <c r="J10" s="9">
        <v>631</v>
      </c>
      <c r="K10" s="9">
        <v>294</v>
      </c>
      <c r="L10" s="9">
        <v>249</v>
      </c>
      <c r="M10" s="27">
        <v>198</v>
      </c>
      <c r="N10" s="27">
        <v>0</v>
      </c>
      <c r="O10" s="21">
        <f>SUM(A10:N10)</f>
        <v>2616</v>
      </c>
      <c r="P10" s="21">
        <v>2500</v>
      </c>
      <c r="Q10" s="40">
        <f>'TRAVELIFE CONSUPTION 2021'!O10</f>
        <v>1896</v>
      </c>
      <c r="R10" s="21">
        <v>1549</v>
      </c>
      <c r="S10" s="23">
        <f>'TRAVELIFE CONSUPTION 2019'!O10</f>
        <v>3389</v>
      </c>
      <c r="T10" s="21">
        <v>1607</v>
      </c>
      <c r="U10" s="21">
        <v>2077</v>
      </c>
      <c r="V10" s="21">
        <v>2538</v>
      </c>
      <c r="W10" s="21">
        <v>3570</v>
      </c>
      <c r="X10" s="69">
        <v>1747</v>
      </c>
      <c r="Y10" s="55" t="s">
        <v>38</v>
      </c>
      <c r="Z10" s="24">
        <f>T11/T4</f>
        <v>0.2010335623828724</v>
      </c>
    </row>
    <row r="11" spans="1:26" s="25" customFormat="1" ht="15">
      <c r="A11" s="54" t="s">
        <v>50</v>
      </c>
      <c r="B11" s="47" t="s">
        <v>20</v>
      </c>
      <c r="C11" s="10">
        <f>SUM(C9:C10)</f>
        <v>495</v>
      </c>
      <c r="D11" s="10">
        <f aca="true" t="shared" si="0" ref="D11:N11">SUM(D9:D10)</f>
        <v>399</v>
      </c>
      <c r="E11" s="10">
        <f t="shared" si="0"/>
        <v>235</v>
      </c>
      <c r="F11" s="10">
        <f t="shared" si="0"/>
        <v>1245</v>
      </c>
      <c r="G11" s="10">
        <f t="shared" si="0"/>
        <v>8815</v>
      </c>
      <c r="H11" s="10">
        <f t="shared" si="0"/>
        <v>11514</v>
      </c>
      <c r="I11" s="10">
        <f t="shared" si="0"/>
        <v>12917</v>
      </c>
      <c r="J11" s="10">
        <f t="shared" si="0"/>
        <v>13510</v>
      </c>
      <c r="K11" s="10">
        <f t="shared" si="0"/>
        <v>2000</v>
      </c>
      <c r="L11" s="10">
        <f t="shared" si="0"/>
        <v>2560</v>
      </c>
      <c r="M11" s="10">
        <f t="shared" si="0"/>
        <v>618</v>
      </c>
      <c r="N11" s="10">
        <f t="shared" si="0"/>
        <v>0</v>
      </c>
      <c r="O11" s="48">
        <f>SUM(A11:L11)</f>
        <v>53690</v>
      </c>
      <c r="P11" s="48">
        <f>SUM(P9:P10)</f>
        <v>54500</v>
      </c>
      <c r="Q11" s="40">
        <f>'TRAVELIFE CONSUPTION 2021'!O11</f>
        <v>29361</v>
      </c>
      <c r="R11" s="48">
        <v>17321</v>
      </c>
      <c r="S11" s="23">
        <f>'TRAVELIFE CONSUPTION 2019'!O11</f>
        <v>33732</v>
      </c>
      <c r="T11" s="21">
        <v>28320</v>
      </c>
      <c r="U11" s="21">
        <v>33990</v>
      </c>
      <c r="V11" s="21">
        <v>37175</v>
      </c>
      <c r="W11" s="21">
        <v>46924</v>
      </c>
      <c r="X11" s="69">
        <v>50940</v>
      </c>
      <c r="Y11" s="56" t="s">
        <v>39</v>
      </c>
      <c r="Z11" s="24"/>
    </row>
    <row r="12" spans="1:26" s="25" customFormat="1" ht="15">
      <c r="A12" s="64" t="s">
        <v>34</v>
      </c>
      <c r="B12" s="46" t="s">
        <v>30</v>
      </c>
      <c r="C12" s="11">
        <v>200</v>
      </c>
      <c r="D12" s="11">
        <v>200</v>
      </c>
      <c r="E12" s="11">
        <v>200</v>
      </c>
      <c r="F12" s="11">
        <v>558</v>
      </c>
      <c r="G12" s="11">
        <v>3112</v>
      </c>
      <c r="H12" s="11">
        <v>3649</v>
      </c>
      <c r="I12" s="11">
        <v>4526</v>
      </c>
      <c r="J12" s="11">
        <v>4529</v>
      </c>
      <c r="K12" s="11">
        <v>3075</v>
      </c>
      <c r="L12" s="11">
        <v>2731</v>
      </c>
      <c r="M12" s="11">
        <v>100</v>
      </c>
      <c r="N12" s="11">
        <v>100</v>
      </c>
      <c r="O12" s="11">
        <f>SUM(C12:N12)</f>
        <v>22980</v>
      </c>
      <c r="P12" s="11">
        <v>22980</v>
      </c>
      <c r="Q12" s="231">
        <f>'TRAVELIFE CONSUPTION 2021'!O12</f>
        <v>18980</v>
      </c>
      <c r="R12" s="11">
        <v>22225</v>
      </c>
      <c r="S12" s="87">
        <f>'TRAVELIFE CONSUPTION 2019'!O12</f>
        <v>22457</v>
      </c>
      <c r="T12" s="26">
        <v>20634</v>
      </c>
      <c r="U12" s="26">
        <v>22932</v>
      </c>
      <c r="V12" s="26">
        <v>22326</v>
      </c>
      <c r="W12" s="26">
        <v>23592</v>
      </c>
      <c r="X12" s="26">
        <v>25000</v>
      </c>
      <c r="Y12" s="55" t="s">
        <v>40</v>
      </c>
      <c r="Z12" s="24"/>
    </row>
    <row r="13" spans="1:26" s="25" customFormat="1" ht="15">
      <c r="A13" s="54" t="s">
        <v>21</v>
      </c>
      <c r="B13" s="46" t="s">
        <v>22</v>
      </c>
      <c r="C13" s="9">
        <v>63</v>
      </c>
      <c r="D13" s="9">
        <v>91</v>
      </c>
      <c r="E13" s="9">
        <v>340</v>
      </c>
      <c r="F13" s="9">
        <v>2128</v>
      </c>
      <c r="G13" s="9">
        <f>160+914</f>
        <v>1074</v>
      </c>
      <c r="H13" s="9">
        <v>675</v>
      </c>
      <c r="I13" s="9">
        <f>145+400</f>
        <v>545</v>
      </c>
      <c r="J13" s="9">
        <f>122+200</f>
        <v>322</v>
      </c>
      <c r="K13" s="9">
        <v>125</v>
      </c>
      <c r="L13" s="9">
        <v>289</v>
      </c>
      <c r="M13" s="9">
        <v>24</v>
      </c>
      <c r="N13" s="9">
        <v>0</v>
      </c>
      <c r="O13" s="21">
        <f>SUM(A13:L13)</f>
        <v>5652</v>
      </c>
      <c r="P13" s="21">
        <v>5700</v>
      </c>
      <c r="Q13" s="40">
        <f>'TRAVELIFE CONSUPTION 2021'!O13</f>
        <v>1872.61</v>
      </c>
      <c r="R13" s="21">
        <v>725</v>
      </c>
      <c r="S13" s="23">
        <f>'TRAVELIFE CONSUPTION 2019'!O13</f>
        <v>1560.27</v>
      </c>
      <c r="T13" s="21">
        <v>3112.9300000000003</v>
      </c>
      <c r="U13" s="21">
        <v>3941.15</v>
      </c>
      <c r="V13" s="21">
        <v>1895</v>
      </c>
      <c r="W13" s="21">
        <v>3376</v>
      </c>
      <c r="X13" s="69">
        <v>6330</v>
      </c>
      <c r="Y13" s="55" t="s">
        <v>41</v>
      </c>
      <c r="Z13" s="24"/>
    </row>
    <row r="14" spans="1:26" s="25" customFormat="1" ht="15">
      <c r="A14" s="54" t="s">
        <v>21</v>
      </c>
      <c r="B14" s="46" t="s">
        <v>18</v>
      </c>
      <c r="C14" s="9">
        <f>C13*10.467</f>
        <v>659.421</v>
      </c>
      <c r="D14" s="9">
        <f>D13*10.467</f>
        <v>952.4970000000001</v>
      </c>
      <c r="E14" s="9">
        <f>E13*10.467</f>
        <v>3558.78</v>
      </c>
      <c r="F14" s="9">
        <f>F13*10.467</f>
        <v>22273.776</v>
      </c>
      <c r="G14" s="9">
        <f aca="true" t="shared" si="1" ref="G14:N14">G13*10.467</f>
        <v>11241.558</v>
      </c>
      <c r="H14" s="9">
        <f t="shared" si="1"/>
        <v>7065.225</v>
      </c>
      <c r="I14" s="9">
        <f t="shared" si="1"/>
        <v>5704.515</v>
      </c>
      <c r="J14" s="9">
        <f t="shared" si="1"/>
        <v>3370.3740000000003</v>
      </c>
      <c r="K14" s="9">
        <f t="shared" si="1"/>
        <v>1308.375</v>
      </c>
      <c r="L14" s="9">
        <f t="shared" si="1"/>
        <v>3024.963</v>
      </c>
      <c r="M14" s="9">
        <f t="shared" si="1"/>
        <v>251.20800000000003</v>
      </c>
      <c r="N14" s="9">
        <f t="shared" si="1"/>
        <v>0</v>
      </c>
      <c r="O14" s="21">
        <f>SUM(A14:L14)</f>
        <v>59159.48400000001</v>
      </c>
      <c r="P14" s="21">
        <f>SUM(B14:M14)</f>
        <v>59410.69200000001</v>
      </c>
      <c r="Q14" s="40">
        <f>'TRAVELIFE CONSUPTION 2021'!O14</f>
        <v>19600.608870000004</v>
      </c>
      <c r="R14" s="21">
        <v>7588.575000000001</v>
      </c>
      <c r="S14" s="23">
        <f>'TRAVELIFE CONSUPTION 2019'!O14</f>
        <v>16331.346090000001</v>
      </c>
      <c r="T14" s="21">
        <v>32583.038310000004</v>
      </c>
      <c r="U14" s="21">
        <v>41252.01705</v>
      </c>
      <c r="V14" s="21">
        <v>19834.965000000004</v>
      </c>
      <c r="W14" s="21">
        <v>35337</v>
      </c>
      <c r="X14" s="69">
        <f>X13*10.467</f>
        <v>66256.11</v>
      </c>
      <c r="Y14" s="55"/>
      <c r="Z14" s="24"/>
    </row>
    <row r="15" spans="1:26" s="25" customFormat="1" ht="15">
      <c r="A15" s="54" t="s">
        <v>32</v>
      </c>
      <c r="B15" s="46" t="s">
        <v>18</v>
      </c>
      <c r="C15" s="9">
        <f>C6+C14</f>
        <v>20339.421</v>
      </c>
      <c r="D15" s="9">
        <f aca="true" t="shared" si="2" ref="D15:N15">D6+D14</f>
        <v>15004.497</v>
      </c>
      <c r="E15" s="9">
        <f t="shared" si="2"/>
        <v>21089.78</v>
      </c>
      <c r="F15" s="9">
        <f t="shared" si="2"/>
        <v>78913.776</v>
      </c>
      <c r="G15" s="9">
        <f t="shared" si="2"/>
        <v>267945.558</v>
      </c>
      <c r="H15" s="9">
        <f t="shared" si="2"/>
        <v>323763.225</v>
      </c>
      <c r="I15" s="9">
        <f t="shared" si="2"/>
        <v>372452.515</v>
      </c>
      <c r="J15" s="9">
        <f t="shared" si="2"/>
        <v>379005.374</v>
      </c>
      <c r="K15" s="9">
        <f t="shared" si="2"/>
        <v>317422.375</v>
      </c>
      <c r="L15" s="9">
        <f t="shared" si="2"/>
        <v>287019.963</v>
      </c>
      <c r="M15" s="9">
        <f t="shared" si="2"/>
        <v>23275.208</v>
      </c>
      <c r="N15" s="9">
        <f t="shared" si="2"/>
        <v>11857</v>
      </c>
      <c r="O15" s="21">
        <f>SUM(A15:L15)</f>
        <v>2082956.484</v>
      </c>
      <c r="P15" s="21">
        <f>SUM(B15:M15)</f>
        <v>2106231.692</v>
      </c>
      <c r="Q15" s="40">
        <f>'TRAVELIFE CONSUPTION 2021'!O15</f>
        <v>1653236.60887</v>
      </c>
      <c r="R15" s="21">
        <v>1356219.575</v>
      </c>
      <c r="S15" s="23">
        <f>'TRAVELIFE CONSUPTION 2019'!O15</f>
        <v>1926046.3460900001</v>
      </c>
      <c r="T15" s="21">
        <v>2054858.0383100002</v>
      </c>
      <c r="U15" s="21">
        <v>2081972.0170500001</v>
      </c>
      <c r="V15" s="21">
        <v>1939609.965</v>
      </c>
      <c r="W15" s="21">
        <v>1955112</v>
      </c>
      <c r="X15" s="69">
        <f>X14+X6</f>
        <v>2031881.11</v>
      </c>
      <c r="Y15" s="55"/>
      <c r="Z15" s="24"/>
    </row>
    <row r="16" spans="1:26" s="79" customFormat="1" ht="15">
      <c r="A16" s="73" t="s">
        <v>21</v>
      </c>
      <c r="B16" s="74" t="s">
        <v>30</v>
      </c>
      <c r="C16" s="75">
        <f>C13*1.28</f>
        <v>80.64</v>
      </c>
      <c r="D16" s="75">
        <f>D13*1.31</f>
        <v>119.21000000000001</v>
      </c>
      <c r="E16" s="75">
        <f>E13*1.6</f>
        <v>544</v>
      </c>
      <c r="F16" s="75">
        <f>F13*1.56</f>
        <v>3319.6800000000003</v>
      </c>
      <c r="G16" s="75">
        <f>G13*1.52</f>
        <v>1632.48</v>
      </c>
      <c r="H16" s="75">
        <f>H13*1.78</f>
        <v>1201.5</v>
      </c>
      <c r="I16" s="75">
        <f>I13*1.63</f>
        <v>888.3499999999999</v>
      </c>
      <c r="J16" s="75">
        <f>J13*1.48</f>
        <v>476.56</v>
      </c>
      <c r="K16" s="75">
        <f>K13*1.48</f>
        <v>185</v>
      </c>
      <c r="L16" s="75">
        <f>L13*1.48</f>
        <v>427.71999999999997</v>
      </c>
      <c r="M16" s="75">
        <f>M13*1.48</f>
        <v>35.519999999999996</v>
      </c>
      <c r="N16" s="75">
        <f>N13*1.48</f>
        <v>0</v>
      </c>
      <c r="O16" s="76">
        <f>SUM(A16:L16)</f>
        <v>8875.14</v>
      </c>
      <c r="P16" s="76">
        <v>8800</v>
      </c>
      <c r="Q16" s="40">
        <f>'TRAVELIFE CONSUPTION 2021'!O16</f>
        <v>2371.4511</v>
      </c>
      <c r="R16" s="76">
        <v>855.4999999999999</v>
      </c>
      <c r="S16" s="23">
        <f>'TRAVELIFE CONSUPTION 2019'!O16</f>
        <v>2031.9185999999997</v>
      </c>
      <c r="T16" s="76">
        <v>4500.2378</v>
      </c>
      <c r="U16" s="21">
        <v>4217.0305</v>
      </c>
      <c r="V16" s="76">
        <v>1781.3</v>
      </c>
      <c r="W16" s="76">
        <v>3511.04</v>
      </c>
      <c r="X16" s="77">
        <v>8900</v>
      </c>
      <c r="Y16" s="55"/>
      <c r="Z16" s="78"/>
    </row>
    <row r="17" spans="1:26" s="25" customFormat="1" ht="15">
      <c r="A17" s="64" t="s">
        <v>51</v>
      </c>
      <c r="B17" s="46" t="s">
        <v>30</v>
      </c>
      <c r="C17" s="11">
        <v>0</v>
      </c>
      <c r="D17" s="11">
        <v>0</v>
      </c>
      <c r="E17" s="11">
        <v>0</v>
      </c>
      <c r="F17" s="11">
        <v>31</v>
      </c>
      <c r="G17" s="11">
        <v>169</v>
      </c>
      <c r="H17" s="11">
        <v>176</v>
      </c>
      <c r="I17" s="11">
        <v>186</v>
      </c>
      <c r="J17" s="11">
        <v>186</v>
      </c>
      <c r="K17" s="11">
        <v>173</v>
      </c>
      <c r="L17" s="11">
        <v>142</v>
      </c>
      <c r="M17" s="11">
        <v>0</v>
      </c>
      <c r="N17" s="11">
        <v>0</v>
      </c>
      <c r="O17" s="67">
        <f>SUM(A17:N17)</f>
        <v>1063</v>
      </c>
      <c r="P17" s="67">
        <v>1063</v>
      </c>
      <c r="Q17" s="231">
        <f>'TRAVELIFE CONSUPTION 2021'!O17</f>
        <v>1301</v>
      </c>
      <c r="R17" s="67">
        <v>1472</v>
      </c>
      <c r="S17" s="87">
        <f>'TRAVELIFE CONSUPTION 2019'!O17</f>
        <v>1447</v>
      </c>
      <c r="T17" s="67">
        <v>480</v>
      </c>
      <c r="U17" s="67">
        <v>3131</v>
      </c>
      <c r="V17" s="67">
        <v>4830</v>
      </c>
      <c r="W17" s="67">
        <v>7500</v>
      </c>
      <c r="X17" s="70">
        <v>8900</v>
      </c>
      <c r="Y17" s="55"/>
      <c r="Z17" s="24"/>
    </row>
    <row r="18" spans="1:26" s="25" customFormat="1" ht="15">
      <c r="A18" s="183" t="s">
        <v>84</v>
      </c>
      <c r="B18" s="210" t="s">
        <v>93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v>45000</v>
      </c>
      <c r="O18" s="67">
        <f>N18</f>
        <v>45000</v>
      </c>
      <c r="P18" s="67">
        <v>42000</v>
      </c>
      <c r="Q18" s="67">
        <f>'TRAVELIFE CONSUPTION 2021'!O18</f>
        <v>41000</v>
      </c>
      <c r="R18" s="86">
        <v>35000</v>
      </c>
      <c r="S18" s="86">
        <v>46000</v>
      </c>
      <c r="T18" s="86">
        <v>44000</v>
      </c>
      <c r="U18" s="67">
        <v>42000</v>
      </c>
      <c r="V18" s="67">
        <v>90700</v>
      </c>
      <c r="W18" s="67">
        <v>85500</v>
      </c>
      <c r="X18" s="70">
        <v>0</v>
      </c>
      <c r="Y18" s="55"/>
      <c r="Z18" s="24"/>
    </row>
    <row r="19" spans="1:26" s="25" customFormat="1" ht="15">
      <c r="A19" s="183" t="s">
        <v>96</v>
      </c>
      <c r="B19" s="210" t="s">
        <v>93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v>23000</v>
      </c>
      <c r="O19" s="67">
        <f>N19</f>
        <v>23000</v>
      </c>
      <c r="P19" s="67">
        <v>23000</v>
      </c>
      <c r="Q19" s="67">
        <f>'TRAVELIFE CONSUPTION 2021'!O19</f>
        <v>19000</v>
      </c>
      <c r="R19" s="86">
        <v>14000</v>
      </c>
      <c r="S19" s="86">
        <v>17000</v>
      </c>
      <c r="T19" s="86">
        <v>15000</v>
      </c>
      <c r="U19" s="67">
        <v>13000</v>
      </c>
      <c r="V19" s="67">
        <v>47040</v>
      </c>
      <c r="W19" s="67">
        <v>40000</v>
      </c>
      <c r="X19" s="70">
        <v>0</v>
      </c>
      <c r="Y19" s="55"/>
      <c r="Z19" s="24"/>
    </row>
    <row r="20" spans="1:26" s="25" customFormat="1" ht="15">
      <c r="A20" s="183" t="s">
        <v>95</v>
      </c>
      <c r="B20" s="210" t="s">
        <v>93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v>7800</v>
      </c>
      <c r="O20" s="67">
        <f>N20</f>
        <v>7800</v>
      </c>
      <c r="P20" s="67">
        <v>6000</v>
      </c>
      <c r="Q20" s="67">
        <f>'TRAVELIFE CONSUPTION 2021'!O20</f>
        <v>4200</v>
      </c>
      <c r="R20" s="86">
        <v>600</v>
      </c>
      <c r="S20" s="86">
        <v>3900</v>
      </c>
      <c r="T20" s="86">
        <v>6040</v>
      </c>
      <c r="U20" s="67">
        <v>6890</v>
      </c>
      <c r="V20" s="67">
        <v>6090</v>
      </c>
      <c r="W20" s="67">
        <v>6750</v>
      </c>
      <c r="X20" s="70">
        <v>0</v>
      </c>
      <c r="Y20" s="55"/>
      <c r="Z20" s="24"/>
    </row>
    <row r="21" spans="1:26" s="25" customFormat="1" ht="15">
      <c r="A21" s="183" t="s">
        <v>94</v>
      </c>
      <c r="B21" s="210" t="s">
        <v>93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560</v>
      </c>
      <c r="O21" s="67">
        <f>N21</f>
        <v>560</v>
      </c>
      <c r="P21" s="67">
        <v>500</v>
      </c>
      <c r="Q21" s="67">
        <f>'TRAVELIFE CONSUPTION 2021'!O21</f>
        <v>670</v>
      </c>
      <c r="R21" s="86">
        <v>860</v>
      </c>
      <c r="S21" s="86">
        <v>640</v>
      </c>
      <c r="T21" s="86">
        <v>1275</v>
      </c>
      <c r="U21" s="67">
        <v>1226</v>
      </c>
      <c r="V21" s="67">
        <v>1120</v>
      </c>
      <c r="W21" s="67">
        <v>1580</v>
      </c>
      <c r="X21" s="70">
        <v>0</v>
      </c>
      <c r="Y21" s="55"/>
      <c r="Z21" s="24"/>
    </row>
    <row r="22" spans="1:26" s="25" customFormat="1" ht="15">
      <c r="A22" s="57" t="s">
        <v>23</v>
      </c>
      <c r="B22" s="49" t="s">
        <v>22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50">
        <v>0</v>
      </c>
      <c r="P22" s="50"/>
      <c r="Q22" s="50"/>
      <c r="R22" s="50">
        <v>0</v>
      </c>
      <c r="S22" s="37">
        <v>0</v>
      </c>
      <c r="T22" s="37">
        <v>0</v>
      </c>
      <c r="U22" s="83">
        <v>0</v>
      </c>
      <c r="V22" s="37">
        <v>0</v>
      </c>
      <c r="W22" s="37"/>
      <c r="X22" s="71">
        <v>0</v>
      </c>
      <c r="Y22" s="58" t="s">
        <v>45</v>
      </c>
      <c r="Z22" s="24"/>
    </row>
    <row r="23" spans="1:26" s="18" customFormat="1" ht="16.5">
      <c r="A23" s="63" t="s">
        <v>64</v>
      </c>
      <c r="B23" s="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82"/>
      <c r="V23" s="15"/>
      <c r="W23" s="15"/>
      <c r="X23" s="15"/>
      <c r="Y23" s="55"/>
      <c r="Z23" s="19"/>
    </row>
    <row r="24" spans="1:26" s="18" customFormat="1" ht="16.5">
      <c r="A24" s="54" t="s">
        <v>17</v>
      </c>
      <c r="B24" s="2" t="s">
        <v>46</v>
      </c>
      <c r="C24" s="13" t="e">
        <f aca="true" t="shared" si="3" ref="C24:W24">C6/C3</f>
        <v>#DIV/0!</v>
      </c>
      <c r="D24" s="13" t="e">
        <f t="shared" si="3"/>
        <v>#DIV/0!</v>
      </c>
      <c r="E24" s="13" t="e">
        <f t="shared" si="3"/>
        <v>#DIV/0!</v>
      </c>
      <c r="F24" s="13" t="e">
        <f t="shared" si="3"/>
        <v>#DIV/0!</v>
      </c>
      <c r="G24" s="13">
        <f t="shared" si="3"/>
        <v>38.469054398321596</v>
      </c>
      <c r="H24" s="13">
        <f t="shared" si="3"/>
        <v>38.91594986483165</v>
      </c>
      <c r="I24" s="13">
        <f t="shared" si="3"/>
        <v>43.78035096096455</v>
      </c>
      <c r="J24" s="13">
        <f t="shared" si="3"/>
        <v>44.10932362611555</v>
      </c>
      <c r="K24" s="13">
        <f t="shared" si="3"/>
        <v>38.90155057839035</v>
      </c>
      <c r="L24" s="13">
        <f t="shared" si="3"/>
        <v>38.05883141248995</v>
      </c>
      <c r="M24" s="13" t="e">
        <f t="shared" si="3"/>
        <v>#DIV/0!</v>
      </c>
      <c r="N24" s="13" t="e">
        <f t="shared" si="3"/>
        <v>#DIV/0!</v>
      </c>
      <c r="O24" s="13">
        <f>O6/O3</f>
        <v>43.53121035270236</v>
      </c>
      <c r="P24" s="13">
        <f>P6/P3</f>
        <v>43.55916434069187</v>
      </c>
      <c r="Q24" s="13">
        <f>Q6/Q3</f>
        <v>49.241392581189494</v>
      </c>
      <c r="R24" s="13">
        <v>58.55655647148806</v>
      </c>
      <c r="S24" s="13">
        <f>S6/S3</f>
        <v>44.626808122823824</v>
      </c>
      <c r="T24" s="13">
        <v>41.06976035743298</v>
      </c>
      <c r="U24" s="13">
        <v>40.39909727996199</v>
      </c>
      <c r="V24" s="13">
        <f t="shared" si="3"/>
        <v>44.99437504394497</v>
      </c>
      <c r="W24" s="13">
        <f t="shared" si="3"/>
        <v>45.90484535594184</v>
      </c>
      <c r="X24" s="13">
        <f>X6/X3</f>
        <v>44.711910286156225</v>
      </c>
      <c r="Y24" s="55" t="s">
        <v>36</v>
      </c>
      <c r="Z24" s="19"/>
    </row>
    <row r="25" spans="1:26" s="18" customFormat="1" ht="16.5">
      <c r="A25" s="54" t="s">
        <v>19</v>
      </c>
      <c r="B25" s="1" t="s">
        <v>103</v>
      </c>
      <c r="C25" s="14" t="e">
        <f>C11/C3</f>
        <v>#DIV/0!</v>
      </c>
      <c r="D25" s="14" t="e">
        <f aca="true" t="shared" si="4" ref="D25:N25">D11/D3</f>
        <v>#DIV/0!</v>
      </c>
      <c r="E25" s="14" t="e">
        <f t="shared" si="4"/>
        <v>#DIV/0!</v>
      </c>
      <c r="F25" s="14" t="e">
        <f t="shared" si="4"/>
        <v>#DIV/0!</v>
      </c>
      <c r="G25" s="14">
        <f t="shared" si="4"/>
        <v>1.320995054698037</v>
      </c>
      <c r="H25" s="14">
        <f t="shared" si="4"/>
        <v>1.4148439420004915</v>
      </c>
      <c r="I25" s="14">
        <f t="shared" si="4"/>
        <v>1.541960128924436</v>
      </c>
      <c r="J25" s="14">
        <f t="shared" si="4"/>
        <v>1.5864255519023016</v>
      </c>
      <c r="K25" s="14">
        <f t="shared" si="4"/>
        <v>0.24612355402412012</v>
      </c>
      <c r="L25" s="14">
        <f t="shared" si="4"/>
        <v>0.3430715625837577</v>
      </c>
      <c r="M25" s="14" t="e">
        <f t="shared" si="4"/>
        <v>#DIV/0!</v>
      </c>
      <c r="N25" s="14" t="e">
        <f t="shared" si="4"/>
        <v>#DIV/0!</v>
      </c>
      <c r="O25" s="14">
        <f>O11/O3</f>
        <v>1.1352871521610421</v>
      </c>
      <c r="P25" s="14">
        <f>P11/P3</f>
        <v>1.1524147847416053</v>
      </c>
      <c r="Q25" s="14">
        <f>Q11/Q3</f>
        <v>0.8692086799490808</v>
      </c>
      <c r="R25" s="14">
        <v>0.7359989801988612</v>
      </c>
      <c r="S25" s="14">
        <f>S11/S3</f>
        <v>0.7882597621106255</v>
      </c>
      <c r="T25" s="14">
        <v>0.5751421608448416</v>
      </c>
      <c r="U25" s="14">
        <v>0.6728827651740111</v>
      </c>
      <c r="V25" s="14">
        <f>V11/V3</f>
        <v>0.871282255607378</v>
      </c>
      <c r="W25" s="14">
        <f>W11/W3</f>
        <v>1.1112584663477478</v>
      </c>
      <c r="X25" s="14">
        <f>X11/X3</f>
        <v>1.1587279923570357</v>
      </c>
      <c r="Y25" s="53" t="s">
        <v>38</v>
      </c>
      <c r="Z25" s="19"/>
    </row>
    <row r="26" spans="1:25" s="18" customFormat="1" ht="16.5">
      <c r="A26" s="54" t="s">
        <v>21</v>
      </c>
      <c r="B26" s="1" t="s">
        <v>47</v>
      </c>
      <c r="C26" s="14" t="e">
        <f aca="true" t="shared" si="5" ref="C26:X26">C13/C3</f>
        <v>#DIV/0!</v>
      </c>
      <c r="D26" s="14" t="e">
        <f t="shared" si="5"/>
        <v>#DIV/0!</v>
      </c>
      <c r="E26" s="14" t="e">
        <f t="shared" si="5"/>
        <v>#DIV/0!</v>
      </c>
      <c r="F26" s="14" t="e">
        <f t="shared" si="5"/>
        <v>#DIV/0!</v>
      </c>
      <c r="G26" s="14">
        <f t="shared" si="5"/>
        <v>0.16094710025475797</v>
      </c>
      <c r="H26" s="14">
        <f t="shared" si="5"/>
        <v>0.08294421233718359</v>
      </c>
      <c r="I26" s="14">
        <f t="shared" si="5"/>
        <v>0.06505909036647965</v>
      </c>
      <c r="J26" s="14">
        <f t="shared" si="5"/>
        <v>0.03781117895725693</v>
      </c>
      <c r="K26" s="14">
        <f t="shared" si="5"/>
        <v>0.015382722126507507</v>
      </c>
      <c r="L26" s="14">
        <f t="shared" si="5"/>
        <v>0.03872956311980702</v>
      </c>
      <c r="M26" s="14" t="e">
        <f t="shared" si="5"/>
        <v>#DIV/0!</v>
      </c>
      <c r="N26" s="14" t="e">
        <f t="shared" si="5"/>
        <v>#DIV/0!</v>
      </c>
      <c r="O26" s="14">
        <f>O13/O3</f>
        <v>0.11951281400659731</v>
      </c>
      <c r="P26" s="14">
        <f>P13/P3</f>
        <v>0.12052778482618624</v>
      </c>
      <c r="Q26" s="14">
        <f>Q13/Q3</f>
        <v>0.055437105894194615</v>
      </c>
      <c r="R26" s="14">
        <v>0.030806492733916887</v>
      </c>
      <c r="S26" s="13">
        <f>S13/S3</f>
        <v>0.03646086976842007</v>
      </c>
      <c r="T26" s="13">
        <v>0.06321953696181966</v>
      </c>
      <c r="U26" s="13">
        <v>0.07802094468860118</v>
      </c>
      <c r="V26" s="13">
        <f t="shared" si="5"/>
        <v>0.044413715517847514</v>
      </c>
      <c r="W26" s="13">
        <f t="shared" si="5"/>
        <v>0.07995074124946715</v>
      </c>
      <c r="X26" s="13">
        <f t="shared" si="5"/>
        <v>0.1439879896274055</v>
      </c>
      <c r="Y26" s="53" t="s">
        <v>41</v>
      </c>
    </row>
    <row r="27" spans="1:25" s="18" customFormat="1" ht="16.5">
      <c r="A27" s="54" t="s">
        <v>32</v>
      </c>
      <c r="B27" s="45" t="s">
        <v>33</v>
      </c>
      <c r="C27" s="14" t="e">
        <f>C15/C3</f>
        <v>#DIV/0!</v>
      </c>
      <c r="D27" s="14" t="e">
        <f aca="true" t="shared" si="6" ref="D27:N27">D15/D3</f>
        <v>#DIV/0!</v>
      </c>
      <c r="E27" s="14" t="e">
        <f t="shared" si="6"/>
        <v>#DIV/0!</v>
      </c>
      <c r="F27" s="14" t="e">
        <f t="shared" si="6"/>
        <v>#DIV/0!</v>
      </c>
      <c r="G27" s="14">
        <f t="shared" si="6"/>
        <v>40.15368769668815</v>
      </c>
      <c r="H27" s="14">
        <f t="shared" si="6"/>
        <v>39.78412693536495</v>
      </c>
      <c r="I27" s="14">
        <f t="shared" si="6"/>
        <v>44.46132445983049</v>
      </c>
      <c r="J27" s="14">
        <f t="shared" si="6"/>
        <v>44.50509323626115</v>
      </c>
      <c r="K27" s="14">
        <f t="shared" si="6"/>
        <v>39.06256153088851</v>
      </c>
      <c r="L27" s="14">
        <f t="shared" si="6"/>
        <v>38.46421374966497</v>
      </c>
      <c r="M27" s="14" t="e">
        <f t="shared" si="6"/>
        <v>#DIV/0!</v>
      </c>
      <c r="N27" s="14" t="e">
        <f t="shared" si="6"/>
        <v>#DIV/0!</v>
      </c>
      <c r="O27" s="14">
        <f>O15/O3</f>
        <v>44.044584369449375</v>
      </c>
      <c r="P27" s="14">
        <f>P15/P3</f>
        <v>44.53674388902985</v>
      </c>
      <c r="Q27" s="14">
        <f>Q15/Q3</f>
        <v>48.94273391367418</v>
      </c>
      <c r="R27" s="14">
        <v>57.62809445908048</v>
      </c>
      <c r="S27" s="14">
        <f>S15/S3</f>
        <v>45.00844404668988</v>
      </c>
      <c r="T27" s="14">
        <v>41.73147925081235</v>
      </c>
      <c r="U27" s="14">
        <v>41.215742508017584</v>
      </c>
      <c r="V27" s="14">
        <f>V15/V3</f>
        <v>45.45925340427028</v>
      </c>
      <c r="W27" s="14">
        <f>W15/W3</f>
        <v>46.30114147681523</v>
      </c>
      <c r="X27" s="14">
        <f>X15/X3</f>
        <v>46.21903257358628</v>
      </c>
      <c r="Y27" s="55" t="s">
        <v>42</v>
      </c>
    </row>
    <row r="28" spans="1:25" s="18" customFormat="1" ht="16.5">
      <c r="A28" s="183" t="s">
        <v>84</v>
      </c>
      <c r="B28" s="210" t="s">
        <v>98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>
        <f>O18/O3</f>
        <v>0.9515351433646283</v>
      </c>
      <c r="P28" s="218">
        <f>P18/P3</f>
        <v>0.8880994671403197</v>
      </c>
      <c r="Q28" s="218">
        <f>Q18/Q3</f>
        <v>1.2137718700968056</v>
      </c>
      <c r="R28" s="218">
        <f aca="true" t="shared" si="7" ref="R28:X28">R18/R3</f>
        <v>1.48720999405116</v>
      </c>
      <c r="S28" s="218">
        <f t="shared" si="7"/>
        <v>1.0749421634379455</v>
      </c>
      <c r="T28" s="218">
        <f t="shared" si="7"/>
        <v>0.8935824532900081</v>
      </c>
      <c r="U28" s="218">
        <f t="shared" si="7"/>
        <v>0.8314526665874807</v>
      </c>
      <c r="V28" s="218">
        <f t="shared" si="7"/>
        <v>2.125764642463731</v>
      </c>
      <c r="W28" s="218">
        <f t="shared" si="7"/>
        <v>2.024818831999242</v>
      </c>
      <c r="X28" s="218">
        <f t="shared" si="7"/>
        <v>0</v>
      </c>
      <c r="Y28" s="219"/>
    </row>
    <row r="29" spans="1:25" s="18" customFormat="1" ht="16.5">
      <c r="A29" s="183" t="s">
        <v>96</v>
      </c>
      <c r="B29" s="210" t="s">
        <v>98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>
        <f>O19/O3</f>
        <v>0.48634018438636556</v>
      </c>
      <c r="P29" s="218">
        <f>P19/P3</f>
        <v>0.48634018438636556</v>
      </c>
      <c r="Q29" s="218">
        <f>Q19/Q3</f>
        <v>0.5624796471180319</v>
      </c>
      <c r="R29" s="218">
        <f aca="true" t="shared" si="8" ref="R29:X29">R19/R3</f>
        <v>0.594883997620464</v>
      </c>
      <c r="S29" s="218">
        <f t="shared" si="8"/>
        <v>0.3972612343140233</v>
      </c>
      <c r="T29" s="218">
        <f t="shared" si="8"/>
        <v>0.30463038180341184</v>
      </c>
      <c r="U29" s="218">
        <f>U19/U3</f>
        <v>0.2573543968008869</v>
      </c>
      <c r="V29" s="218">
        <f t="shared" si="8"/>
        <v>1.1024913867860406</v>
      </c>
      <c r="W29" s="218">
        <f t="shared" si="8"/>
        <v>0.9472836640932127</v>
      </c>
      <c r="X29" s="218">
        <f t="shared" si="8"/>
        <v>0</v>
      </c>
      <c r="Y29" s="219"/>
    </row>
    <row r="30" spans="1:25" s="18" customFormat="1" ht="16.5">
      <c r="A30" s="183" t="s">
        <v>95</v>
      </c>
      <c r="B30" s="210" t="s">
        <v>98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>
        <f>O20/O3</f>
        <v>0.16493275818320224</v>
      </c>
      <c r="P30" s="218">
        <f>P20/P3</f>
        <v>0.1268713524486171</v>
      </c>
      <c r="Q30" s="218">
        <f>Q20/Q3</f>
        <v>0.12433760620503863</v>
      </c>
      <c r="R30" s="218">
        <f aca="true" t="shared" si="9" ref="R30:X30">R20/R3</f>
        <v>0.02549502846944846</v>
      </c>
      <c r="S30" s="218">
        <f t="shared" si="9"/>
        <v>0.09113640081321711</v>
      </c>
      <c r="T30" s="218">
        <f t="shared" si="9"/>
        <v>0.12266450040617384</v>
      </c>
      <c r="U30" s="218">
        <f t="shared" si="9"/>
        <v>0.13639783030447006</v>
      </c>
      <c r="V30" s="218">
        <f t="shared" si="9"/>
        <v>0.14273325989640706</v>
      </c>
      <c r="W30" s="218">
        <f t="shared" si="9"/>
        <v>0.15985411831572965</v>
      </c>
      <c r="X30" s="218">
        <f t="shared" si="9"/>
        <v>0</v>
      </c>
      <c r="Y30" s="219"/>
    </row>
    <row r="31" spans="1:25" s="18" customFormat="1" ht="16.5">
      <c r="A31" s="183" t="s">
        <v>94</v>
      </c>
      <c r="B31" s="210" t="s">
        <v>98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>
        <f>O21/O3</f>
        <v>0.011841326228537596</v>
      </c>
      <c r="P31" s="218">
        <f>P21/P3</f>
        <v>0.010572612704051425</v>
      </c>
      <c r="Q31" s="218">
        <f>Q21/Q3</f>
        <v>0.01983480860889902</v>
      </c>
      <c r="R31" s="218">
        <f aca="true" t="shared" si="10" ref="R31:X31">R21/R3</f>
        <v>0.03654287413954279</v>
      </c>
      <c r="S31" s="218">
        <f t="shared" si="10"/>
        <v>0.014955717056527937</v>
      </c>
      <c r="T31" s="218">
        <f t="shared" si="10"/>
        <v>0.025893582453290008</v>
      </c>
      <c r="U31" s="218">
        <f t="shared" si="10"/>
        <v>0.024270499267529794</v>
      </c>
      <c r="V31" s="218">
        <f t="shared" si="10"/>
        <v>0.02624979492347716</v>
      </c>
      <c r="W31" s="218">
        <f t="shared" si="10"/>
        <v>0.037417704731681906</v>
      </c>
      <c r="X31" s="218">
        <f t="shared" si="10"/>
        <v>0</v>
      </c>
      <c r="Y31" s="219"/>
    </row>
    <row r="32" spans="1:25" s="18" customFormat="1" ht="17.25" thickBot="1">
      <c r="A32" s="59" t="s">
        <v>26</v>
      </c>
      <c r="B32" s="16" t="s">
        <v>27</v>
      </c>
      <c r="C32" s="17" t="e">
        <f aca="true" t="shared" si="11" ref="C32:N32">C22/C4</f>
        <v>#DIV/0!</v>
      </c>
      <c r="D32" s="17" t="e">
        <f t="shared" si="11"/>
        <v>#DIV/0!</v>
      </c>
      <c r="E32" s="17" t="e">
        <f t="shared" si="11"/>
        <v>#DIV/0!</v>
      </c>
      <c r="F32" s="17" t="e">
        <f t="shared" si="11"/>
        <v>#DIV/0!</v>
      </c>
      <c r="G32" s="17">
        <f t="shared" si="11"/>
        <v>0</v>
      </c>
      <c r="H32" s="17">
        <f t="shared" si="11"/>
        <v>0</v>
      </c>
      <c r="I32" s="17">
        <f t="shared" si="11"/>
        <v>0</v>
      </c>
      <c r="J32" s="17">
        <f t="shared" si="11"/>
        <v>0</v>
      </c>
      <c r="K32" s="17">
        <f t="shared" si="11"/>
        <v>0</v>
      </c>
      <c r="L32" s="17">
        <f t="shared" si="11"/>
        <v>0</v>
      </c>
      <c r="M32" s="17" t="e">
        <f t="shared" si="11"/>
        <v>#DIV/0!</v>
      </c>
      <c r="N32" s="17" t="e">
        <f t="shared" si="11"/>
        <v>#DIV/0!</v>
      </c>
      <c r="O32" s="17">
        <f>O22/O4</f>
        <v>0</v>
      </c>
      <c r="P32" s="17"/>
      <c r="Q32" s="17">
        <f>Q22/Q4</f>
        <v>0</v>
      </c>
      <c r="R32" s="17">
        <v>0</v>
      </c>
      <c r="S32" s="17">
        <v>0</v>
      </c>
      <c r="T32" s="17">
        <v>0</v>
      </c>
      <c r="U32" s="84">
        <v>0</v>
      </c>
      <c r="V32" s="17">
        <v>0</v>
      </c>
      <c r="W32" s="17"/>
      <c r="X32" s="17">
        <v>0</v>
      </c>
      <c r="Y32" s="60" t="s">
        <v>45</v>
      </c>
    </row>
    <row r="33" spans="1:26" ht="18.75">
      <c r="A33" s="63" t="s">
        <v>65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9"/>
      <c r="O33" s="29"/>
      <c r="P33" s="29"/>
      <c r="Q33" s="29"/>
      <c r="R33" s="29"/>
      <c r="S33" s="31"/>
      <c r="T33" s="31"/>
      <c r="U33" s="85"/>
      <c r="V33" s="31"/>
      <c r="W33" s="31"/>
      <c r="X33" s="72"/>
      <c r="Y33" s="30"/>
      <c r="Z33" s="18"/>
    </row>
    <row r="34" spans="1:26" s="18" customFormat="1" ht="15">
      <c r="A34" s="54" t="s">
        <v>17</v>
      </c>
      <c r="B34" s="2" t="s">
        <v>60</v>
      </c>
      <c r="C34" s="13" t="e">
        <f>C6/C4</f>
        <v>#DIV/0!</v>
      </c>
      <c r="D34" s="13" t="e">
        <f>D6/D4</f>
        <v>#DIV/0!</v>
      </c>
      <c r="E34" s="13" t="e">
        <f aca="true" t="shared" si="12" ref="E34:X34">E6/E4</f>
        <v>#DIV/0!</v>
      </c>
      <c r="F34" s="13" t="e">
        <f t="shared" si="12"/>
        <v>#DIV/0!</v>
      </c>
      <c r="G34" s="13">
        <f t="shared" si="12"/>
        <v>16.206060606060607</v>
      </c>
      <c r="H34" s="13">
        <f t="shared" si="12"/>
        <v>13.291559994963697</v>
      </c>
      <c r="I34" s="13">
        <f t="shared" si="12"/>
        <v>13.67544186740249</v>
      </c>
      <c r="J34" s="13">
        <f t="shared" si="12"/>
        <v>13.248977144469526</v>
      </c>
      <c r="K34" s="13">
        <f t="shared" si="12"/>
        <v>16.56261133815362</v>
      </c>
      <c r="L34" s="13">
        <f t="shared" si="12"/>
        <v>13.690464712688007</v>
      </c>
      <c r="M34" s="13" t="e">
        <f t="shared" si="12"/>
        <v>#DIV/0!</v>
      </c>
      <c r="N34" s="13" t="e">
        <f t="shared" si="12"/>
        <v>#DIV/0!</v>
      </c>
      <c r="O34" s="13">
        <f>O6/O4</f>
        <v>15.28717503174497</v>
      </c>
      <c r="P34" s="13">
        <f>P6/P4</f>
        <v>15.296991839129111</v>
      </c>
      <c r="Q34" s="13">
        <f>Q6/Q4</f>
        <v>18.055284182189222</v>
      </c>
      <c r="R34" s="13">
        <v>20.388968619154003</v>
      </c>
      <c r="S34" s="13">
        <f>S6/S4</f>
        <v>15.625225004090984</v>
      </c>
      <c r="T34" s="13">
        <v>14.355407746038958</v>
      </c>
      <c r="U34" s="13">
        <v>14.552040845431986</v>
      </c>
      <c r="V34" s="13">
        <f t="shared" si="12"/>
        <v>15.829670918640797</v>
      </c>
      <c r="W34" s="13">
        <f t="shared" si="12"/>
        <v>16.190658358530595</v>
      </c>
      <c r="X34" s="13">
        <f t="shared" si="12"/>
        <v>15.962911228956365</v>
      </c>
      <c r="Y34" s="55" t="s">
        <v>36</v>
      </c>
      <c r="Z34" s="19"/>
    </row>
    <row r="35" spans="1:26" s="18" customFormat="1" ht="16.5">
      <c r="A35" s="54" t="s">
        <v>19</v>
      </c>
      <c r="B35" s="1" t="s">
        <v>61</v>
      </c>
      <c r="C35" s="14" t="e">
        <f>C11/C4</f>
        <v>#DIV/0!</v>
      </c>
      <c r="D35" s="14" t="e">
        <f aca="true" t="shared" si="13" ref="D35:X35">D11/D4</f>
        <v>#DIV/0!</v>
      </c>
      <c r="E35" s="14" t="e">
        <f t="shared" si="13"/>
        <v>#DIV/0!</v>
      </c>
      <c r="F35" s="14" t="e">
        <f t="shared" si="13"/>
        <v>#DIV/0!</v>
      </c>
      <c r="G35" s="14">
        <f t="shared" si="13"/>
        <v>0.5565025252525253</v>
      </c>
      <c r="H35" s="14">
        <f t="shared" si="13"/>
        <v>0.48323330675284343</v>
      </c>
      <c r="I35" s="14">
        <f t="shared" si="13"/>
        <v>0.48165411290924004</v>
      </c>
      <c r="J35" s="14">
        <f t="shared" si="13"/>
        <v>0.4765095936794582</v>
      </c>
      <c r="K35" s="14">
        <f t="shared" si="13"/>
        <v>0.10478885046631038</v>
      </c>
      <c r="L35" s="14">
        <f t="shared" si="13"/>
        <v>0.12340917855765522</v>
      </c>
      <c r="M35" s="14" t="e">
        <f t="shared" si="13"/>
        <v>#DIV/0!</v>
      </c>
      <c r="N35" s="14" t="e">
        <f t="shared" si="13"/>
        <v>#DIV/0!</v>
      </c>
      <c r="O35" s="14">
        <f>O11/O4</f>
        <v>0.3986871319625446</v>
      </c>
      <c r="P35" s="14">
        <f>P11/P4</f>
        <v>0.40470196855948376</v>
      </c>
      <c r="Q35" s="14">
        <f>Q11/Q4</f>
        <v>0.31871173635534716</v>
      </c>
      <c r="R35" s="14">
        <v>0.25626951131101217</v>
      </c>
      <c r="S35" s="14">
        <f>S11/S4</f>
        <v>0.2759941089837997</v>
      </c>
      <c r="T35" s="14">
        <v>0.2010335623828724</v>
      </c>
      <c r="U35" s="14">
        <v>0.24237713568555863</v>
      </c>
      <c r="V35" s="14">
        <f t="shared" si="13"/>
        <v>0.306529679988786</v>
      </c>
      <c r="W35" s="14">
        <f t="shared" si="13"/>
        <v>0.3919413307495698</v>
      </c>
      <c r="X35" s="14">
        <f t="shared" si="13"/>
        <v>0.4136855697312749</v>
      </c>
      <c r="Y35" s="53" t="s">
        <v>38</v>
      </c>
      <c r="Z35" s="19"/>
    </row>
    <row r="36" spans="1:25" s="18" customFormat="1" ht="16.5">
      <c r="A36" s="54" t="s">
        <v>21</v>
      </c>
      <c r="B36" s="1" t="s">
        <v>62</v>
      </c>
      <c r="C36" s="14" t="e">
        <f>C13/C4</f>
        <v>#DIV/0!</v>
      </c>
      <c r="D36" s="14" t="e">
        <f aca="true" t="shared" si="14" ref="D36:N36">D13/D4</f>
        <v>#DIV/0!</v>
      </c>
      <c r="E36" s="14" t="e">
        <f t="shared" si="14"/>
        <v>#DIV/0!</v>
      </c>
      <c r="F36" s="14" t="e">
        <f t="shared" si="14"/>
        <v>#DIV/0!</v>
      </c>
      <c r="G36" s="14">
        <f t="shared" si="14"/>
        <v>0.06780303030303031</v>
      </c>
      <c r="H36" s="14">
        <f t="shared" si="14"/>
        <v>0.028329206362529905</v>
      </c>
      <c r="I36" s="14">
        <f t="shared" si="14"/>
        <v>0.020322171675740176</v>
      </c>
      <c r="J36" s="14">
        <f t="shared" si="14"/>
        <v>0.011357223476297968</v>
      </c>
      <c r="K36" s="14">
        <f t="shared" si="14"/>
        <v>0.006549303154144399</v>
      </c>
      <c r="L36" s="14">
        <f t="shared" si="14"/>
        <v>0.013931739298110297</v>
      </c>
      <c r="M36" s="14" t="e">
        <f t="shared" si="14"/>
        <v>#DIV/0!</v>
      </c>
      <c r="N36" s="14" t="e">
        <f t="shared" si="14"/>
        <v>#DIV/0!</v>
      </c>
      <c r="O36" s="14">
        <f>O13/O4</f>
        <v>0.04197019314308628</v>
      </c>
      <c r="P36" s="14">
        <f>P13/P4</f>
        <v>0.04232662790438638</v>
      </c>
      <c r="Q36" s="14">
        <f>Q13/Q4</f>
        <v>0.020327059181103727</v>
      </c>
      <c r="R36" s="14">
        <v>0.010726597523265621</v>
      </c>
      <c r="S36" s="14">
        <f>S13/S4</f>
        <v>0.012766077565046637</v>
      </c>
      <c r="T36" s="14">
        <v>0.02209757794309728</v>
      </c>
      <c r="U36" s="14">
        <v>0.028103696625688127</v>
      </c>
      <c r="V36" s="14">
        <f>V13/V4</f>
        <v>0.01562538651186952</v>
      </c>
      <c r="W36" s="14">
        <f>W13/W4</f>
        <v>0.028198660229531748</v>
      </c>
      <c r="X36" s="14">
        <f>X13/X4</f>
        <v>0.05140615736943405</v>
      </c>
      <c r="Y36" s="53" t="s">
        <v>41</v>
      </c>
    </row>
    <row r="37" spans="1:25" s="18" customFormat="1" ht="16.5">
      <c r="A37" s="54" t="s">
        <v>32</v>
      </c>
      <c r="B37" s="45" t="s">
        <v>63</v>
      </c>
      <c r="C37" s="14" t="e">
        <f>C15/C4</f>
        <v>#DIV/0!</v>
      </c>
      <c r="D37" s="14" t="e">
        <f aca="true" t="shared" si="15" ref="D37:N37">D15/D4</f>
        <v>#DIV/0!</v>
      </c>
      <c r="E37" s="14" t="e">
        <f t="shared" si="15"/>
        <v>#DIV/0!</v>
      </c>
      <c r="F37" s="14" t="e">
        <f t="shared" si="15"/>
        <v>#DIV/0!</v>
      </c>
      <c r="G37" s="14">
        <f t="shared" si="15"/>
        <v>16.915754924242425</v>
      </c>
      <c r="H37" s="14">
        <f t="shared" si="15"/>
        <v>13.588081797960296</v>
      </c>
      <c r="I37" s="14">
        <f t="shared" si="15"/>
        <v>13.888154038332464</v>
      </c>
      <c r="J37" s="14">
        <f t="shared" si="15"/>
        <v>13.367853202595937</v>
      </c>
      <c r="K37" s="14">
        <f t="shared" si="15"/>
        <v>16.63116289426805</v>
      </c>
      <c r="L37" s="14">
        <f t="shared" si="15"/>
        <v>13.836288227921326</v>
      </c>
      <c r="M37" s="14" t="e">
        <f t="shared" si="15"/>
        <v>#DIV/0!</v>
      </c>
      <c r="N37" s="14" t="e">
        <f t="shared" si="15"/>
        <v>#DIV/0!</v>
      </c>
      <c r="O37" s="14">
        <f>O15/O4</f>
        <v>15.467460357771392</v>
      </c>
      <c r="P37" s="14">
        <f>P15/P4</f>
        <v>15.6402956329316</v>
      </c>
      <c r="Q37" s="14">
        <f>Q15/Q4</f>
        <v>17.94577535571621</v>
      </c>
      <c r="R37" s="14">
        <v>20.065684874757725</v>
      </c>
      <c r="S37" s="14">
        <f>S15/S4</f>
        <v>15.758847537964328</v>
      </c>
      <c r="T37" s="14">
        <v>14.586703094369359</v>
      </c>
      <c r="U37" s="14">
        <v>14.846202238013065</v>
      </c>
      <c r="V37" s="14">
        <f>V15/V4</f>
        <v>15.993221839260537</v>
      </c>
      <c r="W37" s="14">
        <f>W15/W4</f>
        <v>16.33043216785553</v>
      </c>
      <c r="X37" s="14">
        <f>X15/X4</f>
        <v>16.500979478142234</v>
      </c>
      <c r="Y37" s="55" t="s">
        <v>42</v>
      </c>
    </row>
    <row r="38" spans="1:25" s="18" customFormat="1" ht="16.5">
      <c r="A38" s="183" t="s">
        <v>84</v>
      </c>
      <c r="B38" s="210" t="s">
        <v>99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f>O18/O4</f>
        <v>0.3341575887188398</v>
      </c>
      <c r="P38" s="14">
        <f>P18/P4</f>
        <v>0.3118804161375838</v>
      </c>
      <c r="Q38" s="148">
        <f>Q18/Q4</f>
        <v>0.4450523207850289</v>
      </c>
      <c r="R38" s="148">
        <f aca="true" t="shared" si="16" ref="R38:X38">R18/R4</f>
        <v>0.5178357425024782</v>
      </c>
      <c r="S38" s="148">
        <f t="shared" si="16"/>
        <v>0.37637047946326296</v>
      </c>
      <c r="T38" s="148">
        <f t="shared" si="16"/>
        <v>0.31234028053836105</v>
      </c>
      <c r="U38" s="148">
        <f t="shared" si="16"/>
        <v>0.2994951367694458</v>
      </c>
      <c r="V38" s="148">
        <f t="shared" si="16"/>
        <v>0.7478747000667892</v>
      </c>
      <c r="W38" s="148">
        <f t="shared" si="16"/>
        <v>0.7141544578272999</v>
      </c>
      <c r="X38" s="148">
        <f t="shared" si="16"/>
        <v>0</v>
      </c>
      <c r="Y38" s="222"/>
    </row>
    <row r="39" spans="1:25" s="18" customFormat="1" ht="16.5">
      <c r="A39" s="183" t="s">
        <v>96</v>
      </c>
      <c r="B39" s="210" t="s">
        <v>99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f>O19/O4</f>
        <v>0.1707916564562959</v>
      </c>
      <c r="P39" s="14">
        <f>P19/P4</f>
        <v>0.1707916564562959</v>
      </c>
      <c r="Q39" s="229">
        <f>Q19/Q4</f>
        <v>0.20624375841257436</v>
      </c>
      <c r="R39" s="229">
        <f aca="true" t="shared" si="17" ref="R39:X39">R19/R4</f>
        <v>0.20713429700099129</v>
      </c>
      <c r="S39" s="229">
        <f t="shared" si="17"/>
        <v>0.13909343806251023</v>
      </c>
      <c r="T39" s="229">
        <f t="shared" si="17"/>
        <v>0.10647964109262309</v>
      </c>
      <c r="U39" s="229">
        <f t="shared" si="17"/>
        <v>0.09270087566673323</v>
      </c>
      <c r="V39" s="229">
        <f t="shared" si="17"/>
        <v>0.3878723913025553</v>
      </c>
      <c r="W39" s="229">
        <f t="shared" si="17"/>
        <v>0.33410734869113445</v>
      </c>
      <c r="X39" s="229">
        <f t="shared" si="17"/>
        <v>0</v>
      </c>
      <c r="Y39" s="222"/>
    </row>
    <row r="40" spans="1:25" s="18" customFormat="1" ht="16.5">
      <c r="A40" s="183" t="s">
        <v>95</v>
      </c>
      <c r="B40" s="210" t="s">
        <v>99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f>O20/O4</f>
        <v>0.057920648711265565</v>
      </c>
      <c r="P40" s="14">
        <f>P20/P4</f>
        <v>0.04455434516251197</v>
      </c>
      <c r="Q40" s="148">
        <f>Q20/Q4</f>
        <v>0.04559072554383223</v>
      </c>
      <c r="R40" s="148">
        <f aca="true" t="shared" si="18" ref="R40:X40">R20/R4</f>
        <v>0.008877184157185341</v>
      </c>
      <c r="S40" s="148">
        <f t="shared" si="18"/>
        <v>0.031909671084928815</v>
      </c>
      <c r="T40" s="148">
        <f t="shared" si="18"/>
        <v>0.04287580214662957</v>
      </c>
      <c r="U40" s="148">
        <f t="shared" si="18"/>
        <v>0.049131464103368605</v>
      </c>
      <c r="V40" s="148">
        <f t="shared" si="18"/>
        <v>0.05021562208827725</v>
      </c>
      <c r="W40" s="148">
        <f t="shared" si="18"/>
        <v>0.05638061509162894</v>
      </c>
      <c r="X40" s="148">
        <f t="shared" si="18"/>
        <v>0</v>
      </c>
      <c r="Y40" s="222"/>
    </row>
    <row r="41" spans="1:25" s="18" customFormat="1" ht="16.5">
      <c r="A41" s="183" t="s">
        <v>94</v>
      </c>
      <c r="B41" s="210" t="s">
        <v>99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f>O21/O4</f>
        <v>0.004158405548501117</v>
      </c>
      <c r="P41" s="14">
        <f>P21/P4</f>
        <v>0.003712862096875998</v>
      </c>
      <c r="Q41" s="148">
        <f>Q21/Q4</f>
        <v>0.0072728062177065695</v>
      </c>
      <c r="R41" s="148">
        <f aca="true" t="shared" si="19" ref="R41:X41">R21/R4</f>
        <v>0.012723963958632322</v>
      </c>
      <c r="S41" s="148">
        <f t="shared" si="19"/>
        <v>0.005236458844706267</v>
      </c>
      <c r="T41" s="148">
        <f t="shared" si="19"/>
        <v>0.009050769492872963</v>
      </c>
      <c r="U41" s="148">
        <f t="shared" si="19"/>
        <v>0.008742405659031918</v>
      </c>
      <c r="V41" s="148">
        <f t="shared" si="19"/>
        <v>0.009235056935775126</v>
      </c>
      <c r="W41" s="148">
        <f t="shared" si="19"/>
        <v>0.01319724027329981</v>
      </c>
      <c r="X41" s="148">
        <f t="shared" si="19"/>
        <v>0</v>
      </c>
      <c r="Y41" s="222"/>
    </row>
    <row r="42" spans="13:25" ht="15">
      <c r="M42" s="22"/>
      <c r="Y42" s="22"/>
    </row>
    <row r="43" spans="13:25" ht="15">
      <c r="M43" s="22"/>
      <c r="N43" s="29"/>
      <c r="O43" s="29"/>
      <c r="P43" s="29"/>
      <c r="Q43" s="29"/>
      <c r="R43" s="29"/>
      <c r="S43" s="31"/>
      <c r="T43" s="31"/>
      <c r="U43" s="31"/>
      <c r="V43" s="31"/>
      <c r="W43" s="31"/>
      <c r="X43" s="72"/>
      <c r="Y43" s="30"/>
    </row>
    <row r="44" ht="15">
      <c r="Y44" s="22"/>
    </row>
    <row r="45" ht="15">
      <c r="Y45" s="22"/>
    </row>
  </sheetData>
  <sheetProtection/>
  <mergeCells count="2">
    <mergeCell ref="A1:S1"/>
    <mergeCell ref="B3:B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zoomScale="118" zoomScaleNormal="118" zoomScalePageLayoutView="0" workbookViewId="0" topLeftCell="A3">
      <selection activeCell="O41" sqref="O41"/>
    </sheetView>
  </sheetViews>
  <sheetFormatPr defaultColWidth="9.140625" defaultRowHeight="15"/>
  <cols>
    <col min="1" max="1" width="17.421875" style="33" customWidth="1"/>
    <col min="2" max="2" width="7.7109375" style="34" customWidth="1"/>
    <col min="3" max="5" width="7.28125" style="35" bestFit="1" customWidth="1"/>
    <col min="6" max="9" width="8.00390625" style="35" bestFit="1" customWidth="1"/>
    <col min="10" max="10" width="9.57421875" style="35" customWidth="1"/>
    <col min="11" max="11" width="9.140625" style="35" customWidth="1"/>
    <col min="12" max="12" width="8.7109375" style="35" customWidth="1"/>
    <col min="13" max="13" width="7.8515625" style="35" customWidth="1"/>
    <col min="14" max="14" width="9.8515625" style="35" customWidth="1"/>
    <col min="15" max="15" width="10.28125" style="35" bestFit="1" customWidth="1"/>
    <col min="16" max="17" width="10.28125" style="35" customWidth="1"/>
    <col min="18" max="22" width="11.00390625" style="66" customWidth="1"/>
    <col min="23" max="23" width="10.57421875" style="66" customWidth="1"/>
    <col min="24" max="24" width="19.28125" style="36" customWidth="1"/>
    <col min="25" max="25" width="10.00390625" style="32" bestFit="1" customWidth="1"/>
    <col min="26" max="16384" width="9.140625" style="32" customWidth="1"/>
  </cols>
  <sheetData>
    <row r="1" spans="1:25" s="18" customFormat="1" ht="18">
      <c r="A1" s="236" t="s">
        <v>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51"/>
      <c r="T1" s="51"/>
      <c r="U1" s="51"/>
      <c r="V1" s="51"/>
      <c r="W1" s="68"/>
      <c r="X1" s="52"/>
      <c r="Y1" s="19"/>
    </row>
    <row r="2" spans="1:24" s="18" customFormat="1" ht="24.75" customHeight="1">
      <c r="A2" s="61" t="s">
        <v>78</v>
      </c>
      <c r="B2" s="1" t="s">
        <v>0</v>
      </c>
      <c r="C2" s="38" t="s">
        <v>1</v>
      </c>
      <c r="D2" s="38" t="s">
        <v>2</v>
      </c>
      <c r="E2" s="38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62" t="s">
        <v>80</v>
      </c>
      <c r="P2" s="62" t="s">
        <v>81</v>
      </c>
      <c r="Q2" s="20" t="s">
        <v>79</v>
      </c>
      <c r="R2" s="20" t="s">
        <v>77</v>
      </c>
      <c r="S2" s="20" t="s">
        <v>72</v>
      </c>
      <c r="T2" s="20" t="s">
        <v>67</v>
      </c>
      <c r="U2" s="20" t="s">
        <v>58</v>
      </c>
      <c r="V2" s="20" t="s">
        <v>55</v>
      </c>
      <c r="W2" s="20" t="s">
        <v>44</v>
      </c>
      <c r="X2" s="53"/>
    </row>
    <row r="3" spans="1:25" s="18" customFormat="1" ht="16.5">
      <c r="A3" s="54" t="s">
        <v>13</v>
      </c>
      <c r="B3" s="238" t="s">
        <v>14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3557</v>
      </c>
      <c r="I3" s="4">
        <v>7003</v>
      </c>
      <c r="J3" s="3">
        <v>8248</v>
      </c>
      <c r="K3" s="3">
        <v>7689</v>
      </c>
      <c r="L3" s="3">
        <v>7282</v>
      </c>
      <c r="M3" s="3">
        <v>0</v>
      </c>
      <c r="N3" s="3">
        <v>0</v>
      </c>
      <c r="O3" s="40">
        <f>SUM(A3:L3)</f>
        <v>33779</v>
      </c>
      <c r="P3" s="40">
        <v>39380</v>
      </c>
      <c r="Q3" s="40">
        <v>23534</v>
      </c>
      <c r="R3" s="40">
        <f>'TRAVELIFE CONSUPTION 2019'!O3</f>
        <v>42793</v>
      </c>
      <c r="S3" s="21">
        <v>49240</v>
      </c>
      <c r="T3" s="80">
        <v>50514</v>
      </c>
      <c r="U3" s="21">
        <v>42667</v>
      </c>
      <c r="V3" s="21">
        <f>'ATLANTICA MIKRI POLI CRETE 2015'!O3</f>
        <v>42226</v>
      </c>
      <c r="W3" s="69">
        <v>43962</v>
      </c>
      <c r="X3" s="53"/>
      <c r="Y3" s="19"/>
    </row>
    <row r="4" spans="1:25" s="18" customFormat="1" ht="16.5">
      <c r="A4" s="54" t="s">
        <v>15</v>
      </c>
      <c r="B4" s="238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8855</v>
      </c>
      <c r="I4" s="4">
        <v>21223</v>
      </c>
      <c r="J4" s="3">
        <v>25224</v>
      </c>
      <c r="K4" s="3">
        <v>16545</v>
      </c>
      <c r="L4" s="3">
        <v>20277</v>
      </c>
      <c r="M4" s="3">
        <v>0</v>
      </c>
      <c r="N4" s="3">
        <v>0</v>
      </c>
      <c r="O4" s="40">
        <f>SUM(A4:L4)</f>
        <v>92124</v>
      </c>
      <c r="P4" s="40">
        <v>110188</v>
      </c>
      <c r="Q4" s="40">
        <v>67589</v>
      </c>
      <c r="R4" s="40">
        <f>'TRAVELIFE CONSUPTION 2019'!O4</f>
        <v>122220</v>
      </c>
      <c r="S4" s="21">
        <v>140872</v>
      </c>
      <c r="T4" s="80">
        <v>140236</v>
      </c>
      <c r="U4" s="21">
        <v>121277</v>
      </c>
      <c r="V4" s="21">
        <f>'ATLANTICA MIKRI POLI CRETE 2015'!O4</f>
        <v>119722</v>
      </c>
      <c r="W4" s="69">
        <v>123137</v>
      </c>
      <c r="X4" s="53"/>
      <c r="Y4" s="19"/>
    </row>
    <row r="5" spans="1:25" s="18" customFormat="1" ht="16.5">
      <c r="A5" s="63" t="s">
        <v>16</v>
      </c>
      <c r="B5" s="41"/>
      <c r="C5" s="3"/>
      <c r="D5" s="3"/>
      <c r="E5" s="3"/>
      <c r="F5" s="42"/>
      <c r="G5" s="42"/>
      <c r="H5" s="42"/>
      <c r="I5" s="42"/>
      <c r="J5" s="42"/>
      <c r="K5" s="42"/>
      <c r="L5" s="42"/>
      <c r="M5" s="42"/>
      <c r="N5" s="43"/>
      <c r="O5" s="44"/>
      <c r="P5" s="44"/>
      <c r="Q5" s="44"/>
      <c r="R5" s="65"/>
      <c r="S5" s="65"/>
      <c r="T5" s="81"/>
      <c r="U5" s="65"/>
      <c r="V5" s="65"/>
      <c r="W5" s="65"/>
      <c r="X5" s="53"/>
      <c r="Y5" s="19"/>
    </row>
    <row r="6" spans="1:25" s="25" customFormat="1" ht="15">
      <c r="A6" s="54" t="s">
        <v>17</v>
      </c>
      <c r="B6" s="45" t="s">
        <v>18</v>
      </c>
      <c r="C6" s="5">
        <v>20199</v>
      </c>
      <c r="D6" s="5">
        <v>40995</v>
      </c>
      <c r="E6" s="5">
        <v>29104</v>
      </c>
      <c r="F6" s="5">
        <v>26057</v>
      </c>
      <c r="G6" s="5">
        <v>52811</v>
      </c>
      <c r="H6" s="5">
        <v>190824</v>
      </c>
      <c r="I6" s="5">
        <v>339514</v>
      </c>
      <c r="J6" s="6">
        <v>380805</v>
      </c>
      <c r="K6" s="6">
        <v>288046</v>
      </c>
      <c r="L6" s="6">
        <v>265281</v>
      </c>
      <c r="M6" s="6">
        <v>20947</v>
      </c>
      <c r="N6" s="6">
        <v>8742</v>
      </c>
      <c r="O6" s="6">
        <f>SUM(A6:N6)</f>
        <v>1663325</v>
      </c>
      <c r="P6" s="6">
        <v>1800000</v>
      </c>
      <c r="Q6" s="6">
        <v>1378070</v>
      </c>
      <c r="R6" s="23">
        <f>'TRAVELIFE CONSUPTION 2019'!O6</f>
        <v>1909715</v>
      </c>
      <c r="S6" s="23">
        <v>2022275</v>
      </c>
      <c r="T6" s="86">
        <v>2040720</v>
      </c>
      <c r="U6" s="23">
        <v>1919775</v>
      </c>
      <c r="V6" s="23">
        <f>'ATLANTICA MIKRI POLI CRETE 2015'!O6</f>
        <v>1938378</v>
      </c>
      <c r="W6" s="23">
        <v>1965625</v>
      </c>
      <c r="X6" s="53" t="s">
        <v>36</v>
      </c>
      <c r="Y6" s="24">
        <f>S6/S3</f>
        <v>41.06976035743298</v>
      </c>
    </row>
    <row r="7" spans="1:25" s="25" customFormat="1" ht="15">
      <c r="A7" s="54" t="s">
        <v>17</v>
      </c>
      <c r="B7" s="45" t="s">
        <v>30</v>
      </c>
      <c r="C7" s="7">
        <v>2075.8</v>
      </c>
      <c r="D7" s="7">
        <v>4498</v>
      </c>
      <c r="E7" s="7">
        <v>3304.93</v>
      </c>
      <c r="F7" s="7">
        <v>2855.1</v>
      </c>
      <c r="G7" s="7">
        <v>5990</v>
      </c>
      <c r="H7" s="7">
        <v>20827</v>
      </c>
      <c r="I7" s="7">
        <v>39709</v>
      </c>
      <c r="J7" s="8">
        <v>44627.62</v>
      </c>
      <c r="K7" s="8">
        <v>47615.86</v>
      </c>
      <c r="L7" s="8">
        <v>58035</v>
      </c>
      <c r="M7" s="8">
        <v>27162</v>
      </c>
      <c r="N7" s="8">
        <v>42469</v>
      </c>
      <c r="O7" s="6">
        <f>SUM(A7:N7)</f>
        <v>299169.31</v>
      </c>
      <c r="P7" s="6">
        <v>180000</v>
      </c>
      <c r="Q7" s="6">
        <v>160416.94</v>
      </c>
      <c r="R7" s="87">
        <f>'TRAVELIFE CONSUPTION 2019'!O7</f>
        <v>191938.01</v>
      </c>
      <c r="S7" s="23">
        <v>214290</v>
      </c>
      <c r="T7" s="86">
        <v>224822</v>
      </c>
      <c r="U7" s="23">
        <v>207617</v>
      </c>
      <c r="V7" s="23">
        <f>'ATLANTICA MIKRI POLI CRETE 2015'!O7</f>
        <v>243776</v>
      </c>
      <c r="W7" s="23">
        <v>252347</v>
      </c>
      <c r="X7" s="53" t="s">
        <v>36</v>
      </c>
      <c r="Y7" s="24">
        <f>S6/S4</f>
        <v>14.355407746038958</v>
      </c>
    </row>
    <row r="8" spans="1:25" s="25" customFormat="1" ht="15">
      <c r="A8" s="64" t="s">
        <v>31</v>
      </c>
      <c r="B8" s="45" t="s">
        <v>30</v>
      </c>
      <c r="C8" s="7">
        <v>2300</v>
      </c>
      <c r="D8" s="7">
        <v>2300</v>
      </c>
      <c r="E8" s="7">
        <v>2300</v>
      </c>
      <c r="F8" s="7">
        <v>2743</v>
      </c>
      <c r="G8" s="7">
        <v>24460</v>
      </c>
      <c r="H8" s="7">
        <v>27661</v>
      </c>
      <c r="I8" s="7">
        <v>32918</v>
      </c>
      <c r="J8" s="8">
        <v>34153</v>
      </c>
      <c r="K8" s="8">
        <v>32873</v>
      </c>
      <c r="L8" s="8">
        <v>25237</v>
      </c>
      <c r="M8" s="8">
        <v>2300</v>
      </c>
      <c r="N8" s="8">
        <v>2300</v>
      </c>
      <c r="O8" s="8">
        <f>SUM(C8:N8)</f>
        <v>191545</v>
      </c>
      <c r="P8" s="8">
        <v>191545</v>
      </c>
      <c r="Q8" s="8">
        <v>224440</v>
      </c>
      <c r="R8" s="87">
        <f>'TRAVELIFE CONSUPTION 2019'!O8</f>
        <v>220768</v>
      </c>
      <c r="S8" s="26">
        <v>219843</v>
      </c>
      <c r="T8" s="26">
        <v>224822</v>
      </c>
      <c r="U8" s="26">
        <v>207618</v>
      </c>
      <c r="V8" s="26">
        <v>243776</v>
      </c>
      <c r="W8" s="26">
        <v>252347</v>
      </c>
      <c r="X8" s="53" t="s">
        <v>36</v>
      </c>
      <c r="Y8" s="24"/>
    </row>
    <row r="9" spans="1:25" s="25" customFormat="1" ht="15">
      <c r="A9" s="54" t="s">
        <v>48</v>
      </c>
      <c r="B9" s="46" t="s">
        <v>20</v>
      </c>
      <c r="C9" s="9">
        <v>0</v>
      </c>
      <c r="D9" s="9">
        <v>0</v>
      </c>
      <c r="E9" s="9">
        <v>0</v>
      </c>
      <c r="F9" s="9">
        <v>0</v>
      </c>
      <c r="G9" s="9">
        <v>2500</v>
      </c>
      <c r="H9" s="9">
        <v>924</v>
      </c>
      <c r="I9" s="9">
        <v>9402</v>
      </c>
      <c r="J9" s="9">
        <v>9430</v>
      </c>
      <c r="K9" s="9">
        <v>1719</v>
      </c>
      <c r="L9" s="9">
        <v>3593</v>
      </c>
      <c r="M9" s="27">
        <v>485</v>
      </c>
      <c r="N9" s="27">
        <v>0</v>
      </c>
      <c r="O9" s="21">
        <f>SUM(A9:L9)</f>
        <v>27568</v>
      </c>
      <c r="P9" s="21">
        <v>25000</v>
      </c>
      <c r="Q9" s="21">
        <v>15772</v>
      </c>
      <c r="R9" s="23">
        <f>'TRAVELIFE CONSUPTION 2019'!O9</f>
        <v>30343</v>
      </c>
      <c r="S9" s="21">
        <v>26713</v>
      </c>
      <c r="T9" s="21">
        <v>31913</v>
      </c>
      <c r="U9" s="21">
        <v>34637</v>
      </c>
      <c r="V9" s="21">
        <f>'ATLANTICA MIKRI POLI CRETE 2015'!O9</f>
        <v>43354</v>
      </c>
      <c r="W9" s="69">
        <v>49194</v>
      </c>
      <c r="X9" s="55" t="s">
        <v>37</v>
      </c>
      <c r="Y9" s="24">
        <f>S11/S3</f>
        <v>0.5751421608448416</v>
      </c>
    </row>
    <row r="10" spans="1:25" s="25" customFormat="1" ht="15">
      <c r="A10" s="54" t="s">
        <v>49</v>
      </c>
      <c r="B10" s="46" t="s">
        <v>20</v>
      </c>
      <c r="C10" s="9">
        <v>0</v>
      </c>
      <c r="D10" s="9">
        <v>92</v>
      </c>
      <c r="E10" s="9">
        <v>92</v>
      </c>
      <c r="F10" s="9">
        <v>71</v>
      </c>
      <c r="G10" s="9">
        <v>229</v>
      </c>
      <c r="H10" s="9">
        <v>36</v>
      </c>
      <c r="I10" s="9">
        <v>513</v>
      </c>
      <c r="J10" s="9">
        <v>550</v>
      </c>
      <c r="K10" s="9">
        <v>92</v>
      </c>
      <c r="L10" s="9">
        <v>118</v>
      </c>
      <c r="M10" s="27">
        <v>103</v>
      </c>
      <c r="N10" s="27"/>
      <c r="O10" s="21">
        <f>SUM(A10:M10)</f>
        <v>1896</v>
      </c>
      <c r="P10" s="21">
        <v>2500</v>
      </c>
      <c r="Q10" s="21">
        <v>1549</v>
      </c>
      <c r="R10" s="23">
        <f>'TRAVELIFE CONSUPTION 2019'!O10</f>
        <v>3389</v>
      </c>
      <c r="S10" s="21">
        <v>1607</v>
      </c>
      <c r="T10" s="21">
        <v>2077</v>
      </c>
      <c r="U10" s="21">
        <v>2538</v>
      </c>
      <c r="V10" s="21">
        <v>3570</v>
      </c>
      <c r="W10" s="69">
        <v>1747</v>
      </c>
      <c r="X10" s="55" t="s">
        <v>38</v>
      </c>
      <c r="Y10" s="24">
        <f>S11/S4</f>
        <v>0.2010335623828724</v>
      </c>
    </row>
    <row r="11" spans="1:25" s="25" customFormat="1" ht="15">
      <c r="A11" s="54" t="s">
        <v>50</v>
      </c>
      <c r="B11" s="47" t="s">
        <v>20</v>
      </c>
      <c r="C11" s="10">
        <f>SUM(C9:C10)</f>
        <v>0</v>
      </c>
      <c r="D11" s="10">
        <f aca="true" t="shared" si="0" ref="D11:N11">SUM(D9:D10)</f>
        <v>92</v>
      </c>
      <c r="E11" s="10">
        <f t="shared" si="0"/>
        <v>92</v>
      </c>
      <c r="F11" s="10">
        <f t="shared" si="0"/>
        <v>71</v>
      </c>
      <c r="G11" s="10">
        <f t="shared" si="0"/>
        <v>2729</v>
      </c>
      <c r="H11" s="10">
        <f t="shared" si="0"/>
        <v>960</v>
      </c>
      <c r="I11" s="10">
        <f t="shared" si="0"/>
        <v>9915</v>
      </c>
      <c r="J11" s="10">
        <f t="shared" si="0"/>
        <v>9980</v>
      </c>
      <c r="K11" s="10">
        <f t="shared" si="0"/>
        <v>1811</v>
      </c>
      <c r="L11" s="10">
        <f t="shared" si="0"/>
        <v>3711</v>
      </c>
      <c r="M11" s="10">
        <f t="shared" si="0"/>
        <v>588</v>
      </c>
      <c r="N11" s="10">
        <f t="shared" si="0"/>
        <v>0</v>
      </c>
      <c r="O11" s="48">
        <f>SUM(A11:L11)</f>
        <v>29361</v>
      </c>
      <c r="P11" s="48">
        <f>SUM(P9:P10)</f>
        <v>27500</v>
      </c>
      <c r="Q11" s="48">
        <v>17321</v>
      </c>
      <c r="R11" s="23">
        <f>'TRAVELIFE CONSUPTION 2019'!O11</f>
        <v>33732</v>
      </c>
      <c r="S11" s="21">
        <v>28320</v>
      </c>
      <c r="T11" s="21">
        <v>33990</v>
      </c>
      <c r="U11" s="21">
        <v>37175</v>
      </c>
      <c r="V11" s="21">
        <v>46924</v>
      </c>
      <c r="W11" s="69">
        <v>50940</v>
      </c>
      <c r="X11" s="56" t="s">
        <v>39</v>
      </c>
      <c r="Y11" s="24"/>
    </row>
    <row r="12" spans="1:25" s="25" customFormat="1" ht="15">
      <c r="A12" s="64" t="s">
        <v>34</v>
      </c>
      <c r="B12" s="46" t="s">
        <v>30</v>
      </c>
      <c r="C12" s="11">
        <v>200</v>
      </c>
      <c r="D12" s="11">
        <v>200</v>
      </c>
      <c r="E12" s="11">
        <v>200</v>
      </c>
      <c r="F12" s="11">
        <v>255</v>
      </c>
      <c r="G12" s="11">
        <v>2163</v>
      </c>
      <c r="H12" s="11">
        <v>2865</v>
      </c>
      <c r="I12" s="11">
        <v>3932</v>
      </c>
      <c r="J12" s="11">
        <v>4030</v>
      </c>
      <c r="K12" s="11">
        <v>2895</v>
      </c>
      <c r="L12" s="11">
        <v>2040</v>
      </c>
      <c r="M12" s="11">
        <v>100</v>
      </c>
      <c r="N12" s="11">
        <v>100</v>
      </c>
      <c r="O12" s="11">
        <f>SUM(C12:N12)</f>
        <v>18980</v>
      </c>
      <c r="P12" s="11">
        <v>18980</v>
      </c>
      <c r="Q12" s="11">
        <v>22225</v>
      </c>
      <c r="R12" s="87">
        <f>'TRAVELIFE CONSUPTION 2019'!O12</f>
        <v>22457</v>
      </c>
      <c r="S12" s="26">
        <v>20634</v>
      </c>
      <c r="T12" s="26">
        <v>22932</v>
      </c>
      <c r="U12" s="26">
        <v>22326</v>
      </c>
      <c r="V12" s="26">
        <v>23592</v>
      </c>
      <c r="W12" s="26">
        <v>25000</v>
      </c>
      <c r="X12" s="55" t="s">
        <v>40</v>
      </c>
      <c r="Y12" s="24"/>
    </row>
    <row r="13" spans="1:25" s="25" customFormat="1" ht="15">
      <c r="A13" s="54" t="s">
        <v>21</v>
      </c>
      <c r="B13" s="46" t="s">
        <v>22</v>
      </c>
      <c r="C13" s="9">
        <v>0</v>
      </c>
      <c r="D13" s="9">
        <v>36.63</v>
      </c>
      <c r="E13" s="9">
        <f>42.27+22.64</f>
        <v>64.91</v>
      </c>
      <c r="F13" s="9">
        <v>73</v>
      </c>
      <c r="G13" s="9">
        <v>88</v>
      </c>
      <c r="H13" s="9">
        <f>36.63+600</f>
        <v>636.63</v>
      </c>
      <c r="I13" s="9">
        <v>458.38</v>
      </c>
      <c r="J13" s="9">
        <v>136.06</v>
      </c>
      <c r="K13" s="9">
        <v>161</v>
      </c>
      <c r="L13" s="9">
        <v>218</v>
      </c>
      <c r="M13" s="9">
        <v>0</v>
      </c>
      <c r="N13" s="9">
        <v>0</v>
      </c>
      <c r="O13" s="21">
        <f>SUM(A13:L13)</f>
        <v>1872.61</v>
      </c>
      <c r="P13" s="21">
        <v>1300</v>
      </c>
      <c r="Q13" s="21">
        <v>725</v>
      </c>
      <c r="R13" s="23">
        <f>'TRAVELIFE CONSUPTION 2019'!O13</f>
        <v>1560.27</v>
      </c>
      <c r="S13" s="21">
        <v>3112.9300000000003</v>
      </c>
      <c r="T13" s="21">
        <v>3941.15</v>
      </c>
      <c r="U13" s="21">
        <v>1895</v>
      </c>
      <c r="V13" s="21">
        <v>3376</v>
      </c>
      <c r="W13" s="69">
        <v>6330</v>
      </c>
      <c r="X13" s="55" t="s">
        <v>41</v>
      </c>
      <c r="Y13" s="24"/>
    </row>
    <row r="14" spans="1:25" s="25" customFormat="1" ht="15">
      <c r="A14" s="54" t="s">
        <v>21</v>
      </c>
      <c r="B14" s="46" t="s">
        <v>18</v>
      </c>
      <c r="C14" s="9">
        <f>C13*10.467</f>
        <v>0</v>
      </c>
      <c r="D14" s="9">
        <f>D13*10.467</f>
        <v>383.40621000000004</v>
      </c>
      <c r="E14" s="9">
        <f>E13*10.467</f>
        <v>679.41297</v>
      </c>
      <c r="F14" s="9">
        <f>F13*10.467</f>
        <v>764.091</v>
      </c>
      <c r="G14" s="9">
        <f aca="true" t="shared" si="1" ref="G14:N14">G13*10.467</f>
        <v>921.096</v>
      </c>
      <c r="H14" s="9">
        <f t="shared" si="1"/>
        <v>6663.60621</v>
      </c>
      <c r="I14" s="9">
        <f t="shared" si="1"/>
        <v>4797.8634600000005</v>
      </c>
      <c r="J14" s="9">
        <f t="shared" si="1"/>
        <v>1424.14002</v>
      </c>
      <c r="K14" s="9">
        <f t="shared" si="1"/>
        <v>1685.1870000000001</v>
      </c>
      <c r="L14" s="9">
        <f t="shared" si="1"/>
        <v>2281.806</v>
      </c>
      <c r="M14" s="9">
        <f t="shared" si="1"/>
        <v>0</v>
      </c>
      <c r="N14" s="9">
        <f t="shared" si="1"/>
        <v>0</v>
      </c>
      <c r="O14" s="21">
        <f>SUM(A14:L14)</f>
        <v>19600.608870000004</v>
      </c>
      <c r="P14" s="21">
        <v>5000</v>
      </c>
      <c r="Q14" s="21">
        <v>7588.575000000001</v>
      </c>
      <c r="R14" s="23">
        <f>'TRAVELIFE CONSUPTION 2019'!O14</f>
        <v>16331.346090000001</v>
      </c>
      <c r="S14" s="21">
        <v>32583.038310000004</v>
      </c>
      <c r="T14" s="21">
        <v>41252.01705</v>
      </c>
      <c r="U14" s="21">
        <v>19834.965000000004</v>
      </c>
      <c r="V14" s="21">
        <v>35337</v>
      </c>
      <c r="W14" s="69">
        <f>W13*10.467</f>
        <v>66256.11</v>
      </c>
      <c r="X14" s="55"/>
      <c r="Y14" s="24"/>
    </row>
    <row r="15" spans="1:25" s="25" customFormat="1" ht="15">
      <c r="A15" s="54" t="s">
        <v>32</v>
      </c>
      <c r="B15" s="46" t="s">
        <v>18</v>
      </c>
      <c r="C15" s="9">
        <f>C6+C14</f>
        <v>20199</v>
      </c>
      <c r="D15" s="9">
        <f aca="true" t="shared" si="2" ref="D15:N15">D6+D14</f>
        <v>41378.40621</v>
      </c>
      <c r="E15" s="9">
        <f t="shared" si="2"/>
        <v>29783.41297</v>
      </c>
      <c r="F15" s="9">
        <f t="shared" si="2"/>
        <v>26821.091</v>
      </c>
      <c r="G15" s="9">
        <f t="shared" si="2"/>
        <v>53732.096</v>
      </c>
      <c r="H15" s="9">
        <f t="shared" si="2"/>
        <v>197487.60621</v>
      </c>
      <c r="I15" s="9">
        <f t="shared" si="2"/>
        <v>344311.86346</v>
      </c>
      <c r="J15" s="9">
        <f t="shared" si="2"/>
        <v>382229.14002</v>
      </c>
      <c r="K15" s="9">
        <f t="shared" si="2"/>
        <v>289731.187</v>
      </c>
      <c r="L15" s="9">
        <f t="shared" si="2"/>
        <v>267562.806</v>
      </c>
      <c r="M15" s="9">
        <f t="shared" si="2"/>
        <v>20947</v>
      </c>
      <c r="N15" s="9">
        <f t="shared" si="2"/>
        <v>8742</v>
      </c>
      <c r="O15" s="21">
        <f>SUM(A15:L15)</f>
        <v>1653236.60887</v>
      </c>
      <c r="P15" s="21">
        <f>P6+P14</f>
        <v>1805000</v>
      </c>
      <c r="Q15" s="21">
        <v>1356219.575</v>
      </c>
      <c r="R15" s="23">
        <f>'TRAVELIFE CONSUPTION 2019'!O15</f>
        <v>1926046.3460900001</v>
      </c>
      <c r="S15" s="21">
        <v>2054858.0383100002</v>
      </c>
      <c r="T15" s="21">
        <v>2081972.0170500001</v>
      </c>
      <c r="U15" s="21">
        <v>1939609.965</v>
      </c>
      <c r="V15" s="21">
        <v>1955112</v>
      </c>
      <c r="W15" s="69">
        <f>W14+W6</f>
        <v>2031881.11</v>
      </c>
      <c r="X15" s="55"/>
      <c r="Y15" s="24"/>
    </row>
    <row r="16" spans="1:25" s="79" customFormat="1" ht="15">
      <c r="A16" s="73" t="s">
        <v>21</v>
      </c>
      <c r="B16" s="74" t="s">
        <v>30</v>
      </c>
      <c r="C16" s="75">
        <f>C13*1.11</f>
        <v>0</v>
      </c>
      <c r="D16" s="75">
        <f>D13*1.23</f>
        <v>45.0549</v>
      </c>
      <c r="E16" s="75">
        <f>E13*1.23</f>
        <v>79.8393</v>
      </c>
      <c r="F16" s="75">
        <f>F13*1.23</f>
        <v>89.78999999999999</v>
      </c>
      <c r="G16" s="75">
        <f>G13*1.23</f>
        <v>108.24</v>
      </c>
      <c r="H16" s="75">
        <f>H13*1.23</f>
        <v>783.0549</v>
      </c>
      <c r="I16" s="75">
        <f>I13*1.3</f>
        <v>595.894</v>
      </c>
      <c r="J16" s="75">
        <f>J13*1.3</f>
        <v>176.87800000000001</v>
      </c>
      <c r="K16" s="75">
        <f>K13*1.3</f>
        <v>209.3</v>
      </c>
      <c r="L16" s="75">
        <f>L13*1.3</f>
        <v>283.40000000000003</v>
      </c>
      <c r="M16" s="75">
        <f>M13*1.3</f>
        <v>0</v>
      </c>
      <c r="N16" s="75">
        <f>N13*1.18</f>
        <v>0</v>
      </c>
      <c r="O16" s="76">
        <f>SUM(A16:L16)</f>
        <v>2371.4511</v>
      </c>
      <c r="P16" s="76">
        <f>P13*1.18</f>
        <v>1534</v>
      </c>
      <c r="Q16" s="76">
        <v>855.4999999999999</v>
      </c>
      <c r="R16" s="23">
        <f>'TRAVELIFE CONSUPTION 2019'!O16</f>
        <v>2031.9185999999997</v>
      </c>
      <c r="S16" s="76">
        <v>4500.2378</v>
      </c>
      <c r="T16" s="21">
        <v>4217.0305</v>
      </c>
      <c r="U16" s="76">
        <v>1781.3</v>
      </c>
      <c r="V16" s="76">
        <v>3511.04</v>
      </c>
      <c r="W16" s="77">
        <v>8900</v>
      </c>
      <c r="X16" s="55"/>
      <c r="Y16" s="78"/>
    </row>
    <row r="17" spans="1:25" s="25" customFormat="1" ht="15">
      <c r="A17" s="64" t="s">
        <v>51</v>
      </c>
      <c r="B17" s="46" t="s">
        <v>30</v>
      </c>
      <c r="C17" s="11">
        <v>0</v>
      </c>
      <c r="D17" s="11">
        <v>0</v>
      </c>
      <c r="E17" s="11">
        <v>0</v>
      </c>
      <c r="F17" s="11">
        <v>20</v>
      </c>
      <c r="G17" s="11">
        <v>177</v>
      </c>
      <c r="H17" s="11">
        <v>200</v>
      </c>
      <c r="I17" s="11">
        <v>238</v>
      </c>
      <c r="J17" s="11">
        <v>247</v>
      </c>
      <c r="K17" s="11">
        <v>237</v>
      </c>
      <c r="L17" s="11">
        <v>182</v>
      </c>
      <c r="M17" s="11">
        <v>0</v>
      </c>
      <c r="N17" s="11">
        <v>0</v>
      </c>
      <c r="O17" s="67">
        <f>SUM(A17:N17)</f>
        <v>1301</v>
      </c>
      <c r="P17" s="67">
        <v>1301</v>
      </c>
      <c r="Q17" s="67">
        <v>1472</v>
      </c>
      <c r="R17" s="87">
        <f>'TRAVELIFE CONSUPTION 2019'!O17</f>
        <v>1447</v>
      </c>
      <c r="S17" s="67">
        <v>480</v>
      </c>
      <c r="T17" s="67">
        <v>3131</v>
      </c>
      <c r="U17" s="67">
        <v>4830</v>
      </c>
      <c r="V17" s="67">
        <v>7500</v>
      </c>
      <c r="W17" s="70">
        <v>8900</v>
      </c>
      <c r="X17" s="55"/>
      <c r="Y17" s="24"/>
    </row>
    <row r="18" spans="1:25" s="25" customFormat="1" ht="15">
      <c r="A18" s="183" t="s">
        <v>84</v>
      </c>
      <c r="B18" s="210" t="s">
        <v>93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5">
        <v>41000</v>
      </c>
      <c r="O18" s="67">
        <f>SUM(A18:N18)</f>
        <v>41000</v>
      </c>
      <c r="P18" s="139">
        <v>33000</v>
      </c>
      <c r="Q18" s="86">
        <v>35000</v>
      </c>
      <c r="R18" s="86">
        <v>46000</v>
      </c>
      <c r="S18" s="86">
        <v>44000</v>
      </c>
      <c r="T18" s="67">
        <v>42000</v>
      </c>
      <c r="U18" s="67">
        <v>90700</v>
      </c>
      <c r="V18" s="67">
        <v>85500</v>
      </c>
      <c r="W18" s="70">
        <v>0</v>
      </c>
      <c r="X18" s="55"/>
      <c r="Y18" s="24"/>
    </row>
    <row r="19" spans="1:25" s="25" customFormat="1" ht="15">
      <c r="A19" s="183" t="s">
        <v>96</v>
      </c>
      <c r="B19" s="210" t="s">
        <v>93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5">
        <v>19000</v>
      </c>
      <c r="O19" s="67">
        <f>SUM(A19:N19)</f>
        <v>19000</v>
      </c>
      <c r="P19" s="139">
        <v>13000</v>
      </c>
      <c r="Q19" s="86">
        <v>14000</v>
      </c>
      <c r="R19" s="86">
        <v>17000</v>
      </c>
      <c r="S19" s="86">
        <v>15000</v>
      </c>
      <c r="T19" s="67">
        <v>13000</v>
      </c>
      <c r="U19" s="67">
        <v>47040</v>
      </c>
      <c r="V19" s="67">
        <v>40000</v>
      </c>
      <c r="W19" s="70">
        <v>0</v>
      </c>
      <c r="X19" s="55"/>
      <c r="Y19" s="24"/>
    </row>
    <row r="20" spans="1:25" s="25" customFormat="1" ht="15">
      <c r="A20" s="183" t="s">
        <v>95</v>
      </c>
      <c r="B20" s="210" t="s">
        <v>93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5">
        <v>4200</v>
      </c>
      <c r="O20" s="67">
        <f>SUM(A20:N20)</f>
        <v>4200</v>
      </c>
      <c r="P20" s="139">
        <v>600</v>
      </c>
      <c r="Q20" s="86">
        <v>600</v>
      </c>
      <c r="R20" s="86">
        <v>3900</v>
      </c>
      <c r="S20" s="86">
        <v>6040</v>
      </c>
      <c r="T20" s="67">
        <v>6890</v>
      </c>
      <c r="U20" s="67">
        <v>6090</v>
      </c>
      <c r="V20" s="67">
        <v>6750</v>
      </c>
      <c r="W20" s="70">
        <v>0</v>
      </c>
      <c r="X20" s="55"/>
      <c r="Y20" s="24"/>
    </row>
    <row r="21" spans="1:25" s="25" customFormat="1" ht="15">
      <c r="A21" s="183" t="s">
        <v>94</v>
      </c>
      <c r="B21" s="210" t="s">
        <v>93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5">
        <v>670</v>
      </c>
      <c r="O21" s="67">
        <f>SUM(A21:N21)</f>
        <v>670</v>
      </c>
      <c r="P21" s="139">
        <v>800</v>
      </c>
      <c r="Q21" s="86">
        <v>860</v>
      </c>
      <c r="R21" s="86">
        <v>640</v>
      </c>
      <c r="S21" s="86">
        <v>1275</v>
      </c>
      <c r="T21" s="67">
        <v>1226</v>
      </c>
      <c r="U21" s="67">
        <v>1120</v>
      </c>
      <c r="V21" s="67">
        <v>1580</v>
      </c>
      <c r="W21" s="70">
        <v>0</v>
      </c>
      <c r="X21" s="55"/>
      <c r="Y21" s="24"/>
    </row>
    <row r="22" spans="1:25" s="25" customFormat="1" ht="15">
      <c r="A22" s="57" t="s">
        <v>23</v>
      </c>
      <c r="B22" s="49" t="s">
        <v>22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50">
        <v>0</v>
      </c>
      <c r="P22" s="50"/>
      <c r="Q22" s="50">
        <v>0</v>
      </c>
      <c r="R22" s="37">
        <v>0</v>
      </c>
      <c r="S22" s="37">
        <v>0</v>
      </c>
      <c r="T22" s="83">
        <v>0</v>
      </c>
      <c r="U22" s="37">
        <v>0</v>
      </c>
      <c r="V22" s="37"/>
      <c r="W22" s="71">
        <v>0</v>
      </c>
      <c r="X22" s="58" t="s">
        <v>45</v>
      </c>
      <c r="Y22" s="24"/>
    </row>
    <row r="23" spans="1:25" s="18" customFormat="1" ht="16.5">
      <c r="A23" s="63" t="s">
        <v>64</v>
      </c>
      <c r="B23" s="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82"/>
      <c r="U23" s="15"/>
      <c r="V23" s="15"/>
      <c r="W23" s="15"/>
      <c r="X23" s="55"/>
      <c r="Y23" s="19"/>
    </row>
    <row r="24" spans="1:25" s="18" customFormat="1" ht="16.5">
      <c r="A24" s="54" t="s">
        <v>17</v>
      </c>
      <c r="B24" s="2" t="s">
        <v>46</v>
      </c>
      <c r="C24" s="13" t="e">
        <f aca="true" t="shared" si="3" ref="C24:V24">C6/C3</f>
        <v>#DIV/0!</v>
      </c>
      <c r="D24" s="13" t="e">
        <f t="shared" si="3"/>
        <v>#DIV/0!</v>
      </c>
      <c r="E24" s="13" t="e">
        <f t="shared" si="3"/>
        <v>#DIV/0!</v>
      </c>
      <c r="F24" s="13" t="e">
        <f t="shared" si="3"/>
        <v>#DIV/0!</v>
      </c>
      <c r="G24" s="13" t="e">
        <f t="shared" si="3"/>
        <v>#DIV/0!</v>
      </c>
      <c r="H24" s="13">
        <f t="shared" si="3"/>
        <v>53.647455721113296</v>
      </c>
      <c r="I24" s="13">
        <f t="shared" si="3"/>
        <v>48.481222333285736</v>
      </c>
      <c r="J24" s="13">
        <f t="shared" si="3"/>
        <v>46.16937439379243</v>
      </c>
      <c r="K24" s="13">
        <f t="shared" si="3"/>
        <v>37.4620886981402</v>
      </c>
      <c r="L24" s="13">
        <f t="shared" si="3"/>
        <v>36.42968964570173</v>
      </c>
      <c r="M24" s="13" t="e">
        <f t="shared" si="3"/>
        <v>#DIV/0!</v>
      </c>
      <c r="N24" s="13" t="e">
        <f t="shared" si="3"/>
        <v>#DIV/0!</v>
      </c>
      <c r="O24" s="13">
        <f>O6/O3</f>
        <v>49.241392581189494</v>
      </c>
      <c r="P24" s="13">
        <f>P6/P3</f>
        <v>45.70848146267141</v>
      </c>
      <c r="Q24" s="13">
        <v>58.55655647148806</v>
      </c>
      <c r="R24" s="13">
        <f>R6/R3</f>
        <v>44.626808122823824</v>
      </c>
      <c r="S24" s="13">
        <v>41.06976035743298</v>
      </c>
      <c r="T24" s="13">
        <v>40.39909727996199</v>
      </c>
      <c r="U24" s="13">
        <f t="shared" si="3"/>
        <v>44.99437504394497</v>
      </c>
      <c r="V24" s="13">
        <f t="shared" si="3"/>
        <v>45.90484535594184</v>
      </c>
      <c r="W24" s="13">
        <f>W6/W3</f>
        <v>44.711910286156225</v>
      </c>
      <c r="X24" s="55" t="s">
        <v>36</v>
      </c>
      <c r="Y24" s="19"/>
    </row>
    <row r="25" spans="1:25" s="18" customFormat="1" ht="16.5">
      <c r="A25" s="54" t="s">
        <v>19</v>
      </c>
      <c r="B25" s="1" t="s">
        <v>103</v>
      </c>
      <c r="C25" s="14" t="e">
        <f>C11/C3</f>
        <v>#DIV/0!</v>
      </c>
      <c r="D25" s="14" t="e">
        <f aca="true" t="shared" si="4" ref="D25:N25">D11/D3</f>
        <v>#DIV/0!</v>
      </c>
      <c r="E25" s="14" t="e">
        <f t="shared" si="4"/>
        <v>#DIV/0!</v>
      </c>
      <c r="F25" s="14" t="e">
        <f t="shared" si="4"/>
        <v>#DIV/0!</v>
      </c>
      <c r="G25" s="14" t="e">
        <f t="shared" si="4"/>
        <v>#DIV/0!</v>
      </c>
      <c r="H25" s="14">
        <f t="shared" si="4"/>
        <v>0.2698903570424515</v>
      </c>
      <c r="I25" s="14">
        <f t="shared" si="4"/>
        <v>1.4158217906611452</v>
      </c>
      <c r="J25" s="14">
        <f t="shared" si="4"/>
        <v>1.2099903006789525</v>
      </c>
      <c r="K25" s="14">
        <f t="shared" si="4"/>
        <v>0.23553127844973337</v>
      </c>
      <c r="L25" s="14">
        <f t="shared" si="4"/>
        <v>0.5096127437517166</v>
      </c>
      <c r="M25" s="14" t="e">
        <f t="shared" si="4"/>
        <v>#DIV/0!</v>
      </c>
      <c r="N25" s="14" t="e">
        <f t="shared" si="4"/>
        <v>#DIV/0!</v>
      </c>
      <c r="O25" s="14">
        <f>O11/O3</f>
        <v>0.8692086799490808</v>
      </c>
      <c r="P25" s="14">
        <f>P11/P3</f>
        <v>0.6983240223463687</v>
      </c>
      <c r="Q25" s="14">
        <v>0.7359989801988612</v>
      </c>
      <c r="R25" s="14">
        <f>R11/R3</f>
        <v>0.7882597621106255</v>
      </c>
      <c r="S25" s="14">
        <v>0.5751421608448416</v>
      </c>
      <c r="T25" s="14">
        <v>0.6728827651740111</v>
      </c>
      <c r="U25" s="14">
        <f>U11/U3</f>
        <v>0.871282255607378</v>
      </c>
      <c r="V25" s="14">
        <f>V11/V3</f>
        <v>1.1112584663477478</v>
      </c>
      <c r="W25" s="14">
        <f>W11/W3</f>
        <v>1.1587279923570357</v>
      </c>
      <c r="X25" s="53" t="s">
        <v>38</v>
      </c>
      <c r="Y25" s="19"/>
    </row>
    <row r="26" spans="1:24" s="18" customFormat="1" ht="16.5">
      <c r="A26" s="54" t="s">
        <v>21</v>
      </c>
      <c r="B26" s="1" t="s">
        <v>47</v>
      </c>
      <c r="C26" s="14" t="e">
        <f aca="true" t="shared" si="5" ref="C26:W26">C13/C3</f>
        <v>#DIV/0!</v>
      </c>
      <c r="D26" s="14" t="e">
        <f t="shared" si="5"/>
        <v>#DIV/0!</v>
      </c>
      <c r="E26" s="14" t="e">
        <f t="shared" si="5"/>
        <v>#DIV/0!</v>
      </c>
      <c r="F26" s="14" t="e">
        <f t="shared" si="5"/>
        <v>#DIV/0!</v>
      </c>
      <c r="G26" s="14" t="e">
        <f t="shared" si="5"/>
        <v>#DIV/0!</v>
      </c>
      <c r="H26" s="14">
        <f t="shared" si="5"/>
        <v>0.17897947708743323</v>
      </c>
      <c r="I26" s="14">
        <f t="shared" si="5"/>
        <v>0.06545480508353563</v>
      </c>
      <c r="J26" s="14">
        <f t="shared" si="5"/>
        <v>0.01649612027158099</v>
      </c>
      <c r="K26" s="14">
        <f t="shared" si="5"/>
        <v>0.0209390037716218</v>
      </c>
      <c r="L26" s="14">
        <f t="shared" si="5"/>
        <v>0.02993683054106015</v>
      </c>
      <c r="M26" s="14" t="e">
        <f t="shared" si="5"/>
        <v>#DIV/0!</v>
      </c>
      <c r="N26" s="14" t="e">
        <f t="shared" si="5"/>
        <v>#DIV/0!</v>
      </c>
      <c r="O26" s="14">
        <f>O13/O3</f>
        <v>0.055437105894194615</v>
      </c>
      <c r="P26" s="14">
        <f>P13/P3</f>
        <v>0.033011681056373796</v>
      </c>
      <c r="Q26" s="14">
        <v>0.030806492733916887</v>
      </c>
      <c r="R26" s="13">
        <f>R13/R3</f>
        <v>0.03646086976842007</v>
      </c>
      <c r="S26" s="13">
        <v>0.06321953696181966</v>
      </c>
      <c r="T26" s="13">
        <v>0.07802094468860118</v>
      </c>
      <c r="U26" s="13">
        <f t="shared" si="5"/>
        <v>0.044413715517847514</v>
      </c>
      <c r="V26" s="13">
        <f t="shared" si="5"/>
        <v>0.07995074124946715</v>
      </c>
      <c r="W26" s="13">
        <f t="shared" si="5"/>
        <v>0.1439879896274055</v>
      </c>
      <c r="X26" s="53" t="s">
        <v>41</v>
      </c>
    </row>
    <row r="27" spans="1:24" s="18" customFormat="1" ht="16.5">
      <c r="A27" s="54" t="s">
        <v>32</v>
      </c>
      <c r="B27" s="45" t="s">
        <v>33</v>
      </c>
      <c r="C27" s="14" t="e">
        <f>C15/C3</f>
        <v>#DIV/0!</v>
      </c>
      <c r="D27" s="14" t="e">
        <f aca="true" t="shared" si="6" ref="D27:N27">D15/D3</f>
        <v>#DIV/0!</v>
      </c>
      <c r="E27" s="14" t="e">
        <f t="shared" si="6"/>
        <v>#DIV/0!</v>
      </c>
      <c r="F27" s="14" t="e">
        <f t="shared" si="6"/>
        <v>#DIV/0!</v>
      </c>
      <c r="G27" s="14" t="e">
        <f t="shared" si="6"/>
        <v>#DIV/0!</v>
      </c>
      <c r="H27" s="14">
        <f t="shared" si="6"/>
        <v>55.52083390778746</v>
      </c>
      <c r="I27" s="14">
        <f t="shared" si="6"/>
        <v>49.166337778095105</v>
      </c>
      <c r="J27" s="14">
        <f t="shared" si="6"/>
        <v>46.342039284675074</v>
      </c>
      <c r="K27" s="14">
        <f t="shared" si="6"/>
        <v>37.68125725061776</v>
      </c>
      <c r="L27" s="14">
        <f t="shared" si="6"/>
        <v>36.74303845097501</v>
      </c>
      <c r="M27" s="14" t="e">
        <f t="shared" si="6"/>
        <v>#DIV/0!</v>
      </c>
      <c r="N27" s="14" t="e">
        <f t="shared" si="6"/>
        <v>#DIV/0!</v>
      </c>
      <c r="O27" s="14">
        <f>O15/O3</f>
        <v>48.94273391367418</v>
      </c>
      <c r="P27" s="14">
        <f>P15/P3</f>
        <v>45.83544946673438</v>
      </c>
      <c r="Q27" s="14">
        <v>57.62809445908048</v>
      </c>
      <c r="R27" s="14">
        <f>R15/R3</f>
        <v>45.00844404668988</v>
      </c>
      <c r="S27" s="14">
        <v>41.73147925081235</v>
      </c>
      <c r="T27" s="14">
        <v>41.215742508017584</v>
      </c>
      <c r="U27" s="14">
        <f>U15/U3</f>
        <v>45.45925340427028</v>
      </c>
      <c r="V27" s="14">
        <f>V15/V3</f>
        <v>46.30114147681523</v>
      </c>
      <c r="W27" s="14">
        <f>W15/W3</f>
        <v>46.21903257358628</v>
      </c>
      <c r="X27" s="55" t="s">
        <v>42</v>
      </c>
    </row>
    <row r="28" spans="1:24" s="18" customFormat="1" ht="16.5">
      <c r="A28" s="183" t="s">
        <v>84</v>
      </c>
      <c r="B28" s="210" t="s">
        <v>98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>
        <f>O18/O3</f>
        <v>1.2137718700968056</v>
      </c>
      <c r="P28" s="218">
        <f>P18/P3</f>
        <v>0.8379888268156425</v>
      </c>
      <c r="Q28" s="218">
        <f aca="true" t="shared" si="7" ref="Q28:W28">Q18/Q3</f>
        <v>1.48720999405116</v>
      </c>
      <c r="R28" s="218">
        <f t="shared" si="7"/>
        <v>1.0749421634379455</v>
      </c>
      <c r="S28" s="218">
        <f t="shared" si="7"/>
        <v>0.8935824532900081</v>
      </c>
      <c r="T28" s="218">
        <f t="shared" si="7"/>
        <v>0.8314526665874807</v>
      </c>
      <c r="U28" s="218">
        <f t="shared" si="7"/>
        <v>2.125764642463731</v>
      </c>
      <c r="V28" s="218">
        <f t="shared" si="7"/>
        <v>2.024818831999242</v>
      </c>
      <c r="W28" s="218">
        <f t="shared" si="7"/>
        <v>0</v>
      </c>
      <c r="X28" s="219"/>
    </row>
    <row r="29" spans="1:24" s="18" customFormat="1" ht="16.5">
      <c r="A29" s="183" t="s">
        <v>96</v>
      </c>
      <c r="B29" s="210" t="s">
        <v>98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>
        <f>O19/O3</f>
        <v>0.5624796471180319</v>
      </c>
      <c r="P29" s="218">
        <f>P19/P3</f>
        <v>0.33011681056373793</v>
      </c>
      <c r="Q29" s="218">
        <f aca="true" t="shared" si="8" ref="Q29:W29">Q19/Q3</f>
        <v>0.594883997620464</v>
      </c>
      <c r="R29" s="218">
        <f t="shared" si="8"/>
        <v>0.3972612343140233</v>
      </c>
      <c r="S29" s="218">
        <f t="shared" si="8"/>
        <v>0.30463038180341184</v>
      </c>
      <c r="T29" s="218">
        <f>T19/T3</f>
        <v>0.2573543968008869</v>
      </c>
      <c r="U29" s="218">
        <f t="shared" si="8"/>
        <v>1.1024913867860406</v>
      </c>
      <c r="V29" s="218">
        <f t="shared" si="8"/>
        <v>0.9472836640932127</v>
      </c>
      <c r="W29" s="218">
        <f t="shared" si="8"/>
        <v>0</v>
      </c>
      <c r="X29" s="219"/>
    </row>
    <row r="30" spans="1:24" s="18" customFormat="1" ht="16.5">
      <c r="A30" s="183" t="s">
        <v>95</v>
      </c>
      <c r="B30" s="210" t="s">
        <v>98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>
        <f>O20/O3</f>
        <v>0.12433760620503863</v>
      </c>
      <c r="P30" s="218">
        <f>P20/P3</f>
        <v>0.015236160487557136</v>
      </c>
      <c r="Q30" s="218">
        <f aca="true" t="shared" si="9" ref="Q30:W30">Q20/Q3</f>
        <v>0.02549502846944846</v>
      </c>
      <c r="R30" s="218">
        <f t="shared" si="9"/>
        <v>0.09113640081321711</v>
      </c>
      <c r="S30" s="218">
        <f t="shared" si="9"/>
        <v>0.12266450040617384</v>
      </c>
      <c r="T30" s="218">
        <f t="shared" si="9"/>
        <v>0.13639783030447006</v>
      </c>
      <c r="U30" s="218">
        <f t="shared" si="9"/>
        <v>0.14273325989640706</v>
      </c>
      <c r="V30" s="218">
        <f t="shared" si="9"/>
        <v>0.15985411831572965</v>
      </c>
      <c r="W30" s="218">
        <f t="shared" si="9"/>
        <v>0</v>
      </c>
      <c r="X30" s="219"/>
    </row>
    <row r="31" spans="1:24" s="18" customFormat="1" ht="16.5">
      <c r="A31" s="183" t="s">
        <v>94</v>
      </c>
      <c r="B31" s="210" t="s">
        <v>98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>
        <f>O21/O3</f>
        <v>0.01983480860889902</v>
      </c>
      <c r="P31" s="218">
        <f>P21/P3</f>
        <v>0.02031488065007618</v>
      </c>
      <c r="Q31" s="218">
        <f aca="true" t="shared" si="10" ref="Q31:W31">Q21/Q3</f>
        <v>0.03654287413954279</v>
      </c>
      <c r="R31" s="218">
        <f t="shared" si="10"/>
        <v>0.014955717056527937</v>
      </c>
      <c r="S31" s="218">
        <f t="shared" si="10"/>
        <v>0.025893582453290008</v>
      </c>
      <c r="T31" s="218">
        <f t="shared" si="10"/>
        <v>0.024270499267529794</v>
      </c>
      <c r="U31" s="218">
        <f t="shared" si="10"/>
        <v>0.02624979492347716</v>
      </c>
      <c r="V31" s="218">
        <f t="shared" si="10"/>
        <v>0.037417704731681906</v>
      </c>
      <c r="W31" s="218">
        <f t="shared" si="10"/>
        <v>0</v>
      </c>
      <c r="X31" s="219"/>
    </row>
    <row r="32" spans="1:24" s="18" customFormat="1" ht="17.25" thickBot="1">
      <c r="A32" s="59" t="s">
        <v>26</v>
      </c>
      <c r="B32" s="16" t="s">
        <v>27</v>
      </c>
      <c r="C32" s="17" t="e">
        <f aca="true" t="shared" si="11" ref="C32:N32">C22/C4</f>
        <v>#DIV/0!</v>
      </c>
      <c r="D32" s="17" t="e">
        <f t="shared" si="11"/>
        <v>#DIV/0!</v>
      </c>
      <c r="E32" s="17" t="e">
        <f t="shared" si="11"/>
        <v>#DIV/0!</v>
      </c>
      <c r="F32" s="17" t="e">
        <f t="shared" si="11"/>
        <v>#DIV/0!</v>
      </c>
      <c r="G32" s="17" t="e">
        <f t="shared" si="11"/>
        <v>#DIV/0!</v>
      </c>
      <c r="H32" s="17">
        <f t="shared" si="11"/>
        <v>0</v>
      </c>
      <c r="I32" s="17">
        <f t="shared" si="11"/>
        <v>0</v>
      </c>
      <c r="J32" s="17">
        <f t="shared" si="11"/>
        <v>0</v>
      </c>
      <c r="K32" s="17">
        <f t="shared" si="11"/>
        <v>0</v>
      </c>
      <c r="L32" s="17">
        <f t="shared" si="11"/>
        <v>0</v>
      </c>
      <c r="M32" s="17" t="e">
        <f t="shared" si="11"/>
        <v>#DIV/0!</v>
      </c>
      <c r="N32" s="17" t="e">
        <f t="shared" si="11"/>
        <v>#DIV/0!</v>
      </c>
      <c r="O32" s="17">
        <f>O22/O4</f>
        <v>0</v>
      </c>
      <c r="P32" s="17">
        <f>P22/P4</f>
        <v>0</v>
      </c>
      <c r="Q32" s="17">
        <v>0</v>
      </c>
      <c r="R32" s="17">
        <v>0</v>
      </c>
      <c r="S32" s="17">
        <v>0</v>
      </c>
      <c r="T32" s="84">
        <v>0</v>
      </c>
      <c r="U32" s="17">
        <v>0</v>
      </c>
      <c r="V32" s="17"/>
      <c r="W32" s="17">
        <v>0</v>
      </c>
      <c r="X32" s="60" t="s">
        <v>45</v>
      </c>
    </row>
    <row r="33" spans="1:25" ht="18.75">
      <c r="A33" s="63" t="s">
        <v>65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9"/>
      <c r="O33" s="29"/>
      <c r="P33" s="29"/>
      <c r="Q33" s="29"/>
      <c r="R33" s="31"/>
      <c r="S33" s="31"/>
      <c r="T33" s="85"/>
      <c r="U33" s="31"/>
      <c r="V33" s="31"/>
      <c r="W33" s="72"/>
      <c r="X33" s="30"/>
      <c r="Y33" s="18"/>
    </row>
    <row r="34" spans="1:25" s="18" customFormat="1" ht="15">
      <c r="A34" s="54" t="s">
        <v>17</v>
      </c>
      <c r="B34" s="2" t="s">
        <v>60</v>
      </c>
      <c r="C34" s="13" t="e">
        <f>C6/C4</f>
        <v>#DIV/0!</v>
      </c>
      <c r="D34" s="13" t="e">
        <f>D6/D4</f>
        <v>#DIV/0!</v>
      </c>
      <c r="E34" s="13" t="e">
        <f aca="true" t="shared" si="12" ref="E34:W34">E6/E4</f>
        <v>#DIV/0!</v>
      </c>
      <c r="F34" s="13" t="e">
        <f t="shared" si="12"/>
        <v>#DIV/0!</v>
      </c>
      <c r="G34" s="13" t="e">
        <f t="shared" si="12"/>
        <v>#DIV/0!</v>
      </c>
      <c r="H34" s="13">
        <f t="shared" si="12"/>
        <v>21.549858836815357</v>
      </c>
      <c r="I34" s="13">
        <f t="shared" si="12"/>
        <v>15.997455590632804</v>
      </c>
      <c r="J34" s="13">
        <f t="shared" si="12"/>
        <v>15.096931493815413</v>
      </c>
      <c r="K34" s="13">
        <f t="shared" si="12"/>
        <v>17.409851919008766</v>
      </c>
      <c r="L34" s="13">
        <f t="shared" si="12"/>
        <v>13.082852492972334</v>
      </c>
      <c r="M34" s="13" t="e">
        <f t="shared" si="12"/>
        <v>#DIV/0!</v>
      </c>
      <c r="N34" s="13" t="e">
        <f t="shared" si="12"/>
        <v>#DIV/0!</v>
      </c>
      <c r="O34" s="13">
        <f>O6/O4</f>
        <v>18.055284182189222</v>
      </c>
      <c r="P34" s="13">
        <f>P6/P4</f>
        <v>16.335717137982357</v>
      </c>
      <c r="Q34" s="13">
        <v>20.388968619154003</v>
      </c>
      <c r="R34" s="13">
        <f>R6/R4</f>
        <v>15.625225004090984</v>
      </c>
      <c r="S34" s="13">
        <v>14.355407746038958</v>
      </c>
      <c r="T34" s="13">
        <v>14.552040845431986</v>
      </c>
      <c r="U34" s="13">
        <f t="shared" si="12"/>
        <v>15.829670918640797</v>
      </c>
      <c r="V34" s="13">
        <f t="shared" si="12"/>
        <v>16.190658358530595</v>
      </c>
      <c r="W34" s="13">
        <f t="shared" si="12"/>
        <v>15.962911228956365</v>
      </c>
      <c r="X34" s="55" t="s">
        <v>36</v>
      </c>
      <c r="Y34" s="19"/>
    </row>
    <row r="35" spans="1:25" s="18" customFormat="1" ht="16.5">
      <c r="A35" s="54" t="s">
        <v>19</v>
      </c>
      <c r="B35" s="1" t="s">
        <v>61</v>
      </c>
      <c r="C35" s="14" t="e">
        <f>C11/C4</f>
        <v>#DIV/0!</v>
      </c>
      <c r="D35" s="14" t="e">
        <f aca="true" t="shared" si="13" ref="D35:W35">D11/D4</f>
        <v>#DIV/0!</v>
      </c>
      <c r="E35" s="14" t="e">
        <f t="shared" si="13"/>
        <v>#DIV/0!</v>
      </c>
      <c r="F35" s="14" t="e">
        <f t="shared" si="13"/>
        <v>#DIV/0!</v>
      </c>
      <c r="G35" s="14" t="e">
        <f t="shared" si="13"/>
        <v>#DIV/0!</v>
      </c>
      <c r="H35" s="14">
        <f t="shared" si="13"/>
        <v>0.10841332580463016</v>
      </c>
      <c r="I35" s="14">
        <f t="shared" si="13"/>
        <v>0.46718183103237054</v>
      </c>
      <c r="J35" s="14">
        <f t="shared" si="13"/>
        <v>0.39565493181097366</v>
      </c>
      <c r="K35" s="14">
        <f t="shared" si="13"/>
        <v>0.10945905107283167</v>
      </c>
      <c r="L35" s="14">
        <f t="shared" si="13"/>
        <v>0.1830152389406717</v>
      </c>
      <c r="M35" s="14" t="e">
        <f t="shared" si="13"/>
        <v>#DIV/0!</v>
      </c>
      <c r="N35" s="14" t="e">
        <f t="shared" si="13"/>
        <v>#DIV/0!</v>
      </c>
      <c r="O35" s="14">
        <f>O11/O4</f>
        <v>0.31871173635534716</v>
      </c>
      <c r="P35" s="14">
        <f>P11/P4</f>
        <v>0.24957345627473046</v>
      </c>
      <c r="Q35" s="14">
        <v>0.25626951131101217</v>
      </c>
      <c r="R35" s="14">
        <f>R11/R4</f>
        <v>0.2759941089837997</v>
      </c>
      <c r="S35" s="14">
        <v>0.2010335623828724</v>
      </c>
      <c r="T35" s="14">
        <v>0.24237713568555863</v>
      </c>
      <c r="U35" s="14">
        <f t="shared" si="13"/>
        <v>0.306529679988786</v>
      </c>
      <c r="V35" s="14">
        <f t="shared" si="13"/>
        <v>0.3919413307495698</v>
      </c>
      <c r="W35" s="14">
        <f t="shared" si="13"/>
        <v>0.4136855697312749</v>
      </c>
      <c r="X35" s="53" t="s">
        <v>38</v>
      </c>
      <c r="Y35" s="19"/>
    </row>
    <row r="36" spans="1:24" s="18" customFormat="1" ht="16.5">
      <c r="A36" s="54" t="s">
        <v>21</v>
      </c>
      <c r="B36" s="1" t="s">
        <v>62</v>
      </c>
      <c r="C36" s="14" t="e">
        <f>C13/C4</f>
        <v>#DIV/0!</v>
      </c>
      <c r="D36" s="14" t="e">
        <f aca="true" t="shared" si="14" ref="D36:N36">D13/D4</f>
        <v>#DIV/0!</v>
      </c>
      <c r="E36" s="14" t="e">
        <f t="shared" si="14"/>
        <v>#DIV/0!</v>
      </c>
      <c r="F36" s="14" t="e">
        <f t="shared" si="14"/>
        <v>#DIV/0!</v>
      </c>
      <c r="G36" s="14" t="e">
        <f t="shared" si="14"/>
        <v>#DIV/0!</v>
      </c>
      <c r="H36" s="14">
        <f t="shared" si="14"/>
        <v>0.07189497459062677</v>
      </c>
      <c r="I36" s="14">
        <f t="shared" si="14"/>
        <v>0.02159826603213495</v>
      </c>
      <c r="J36" s="14">
        <f t="shared" si="14"/>
        <v>0.00539406914050111</v>
      </c>
      <c r="K36" s="14">
        <f t="shared" si="14"/>
        <v>0.009731036566938652</v>
      </c>
      <c r="L36" s="14">
        <f t="shared" si="14"/>
        <v>0.010751097302362282</v>
      </c>
      <c r="M36" s="14" t="e">
        <f t="shared" si="14"/>
        <v>#DIV/0!</v>
      </c>
      <c r="N36" s="14" t="e">
        <f t="shared" si="14"/>
        <v>#DIV/0!</v>
      </c>
      <c r="O36" s="14">
        <f>O13/O4</f>
        <v>0.020327059181103727</v>
      </c>
      <c r="P36" s="14">
        <f>P13/P4</f>
        <v>0.011798017932987258</v>
      </c>
      <c r="Q36" s="14">
        <v>0.010726597523265621</v>
      </c>
      <c r="R36" s="14">
        <f>R13/R4</f>
        <v>0.012766077565046637</v>
      </c>
      <c r="S36" s="14">
        <v>0.02209757794309728</v>
      </c>
      <c r="T36" s="14">
        <v>0.028103696625688127</v>
      </c>
      <c r="U36" s="14">
        <f>U13/U4</f>
        <v>0.01562538651186952</v>
      </c>
      <c r="V36" s="14">
        <f>V13/V4</f>
        <v>0.028198660229531748</v>
      </c>
      <c r="W36" s="14">
        <f>W13/W4</f>
        <v>0.05140615736943405</v>
      </c>
      <c r="X36" s="53" t="s">
        <v>41</v>
      </c>
    </row>
    <row r="37" spans="1:24" s="18" customFormat="1" ht="16.5">
      <c r="A37" s="54" t="s">
        <v>32</v>
      </c>
      <c r="B37" s="45" t="s">
        <v>63</v>
      </c>
      <c r="C37" s="14" t="e">
        <f>C15/C4</f>
        <v>#DIV/0!</v>
      </c>
      <c r="D37" s="14" t="e">
        <f aca="true" t="shared" si="15" ref="D37:N37">D15/D4</f>
        <v>#DIV/0!</v>
      </c>
      <c r="E37" s="14" t="e">
        <f t="shared" si="15"/>
        <v>#DIV/0!</v>
      </c>
      <c r="F37" s="14" t="e">
        <f t="shared" si="15"/>
        <v>#DIV/0!</v>
      </c>
      <c r="G37" s="14" t="e">
        <f t="shared" si="15"/>
        <v>#DIV/0!</v>
      </c>
      <c r="H37" s="14">
        <f t="shared" si="15"/>
        <v>22.302383535855448</v>
      </c>
      <c r="I37" s="14">
        <f t="shared" si="15"/>
        <v>16.223524641191162</v>
      </c>
      <c r="J37" s="14">
        <f t="shared" si="15"/>
        <v>15.15339121550904</v>
      </c>
      <c r="K37" s="14">
        <f t="shared" si="15"/>
        <v>17.51170667875491</v>
      </c>
      <c r="L37" s="14">
        <f t="shared" si="15"/>
        <v>13.195384228436158</v>
      </c>
      <c r="M37" s="14" t="e">
        <f t="shared" si="15"/>
        <v>#DIV/0!</v>
      </c>
      <c r="N37" s="14" t="e">
        <f t="shared" si="15"/>
        <v>#DIV/0!</v>
      </c>
      <c r="O37" s="14">
        <f>O15/O4</f>
        <v>17.94577535571621</v>
      </c>
      <c r="P37" s="14">
        <f>P15/P4</f>
        <v>16.38109413003231</v>
      </c>
      <c r="Q37" s="14">
        <v>20.065684874757725</v>
      </c>
      <c r="R37" s="14">
        <f>R15/R4</f>
        <v>15.758847537964328</v>
      </c>
      <c r="S37" s="14">
        <v>14.586703094369359</v>
      </c>
      <c r="T37" s="14">
        <v>14.846202238013065</v>
      </c>
      <c r="U37" s="14">
        <f>U15/U4</f>
        <v>15.993221839260537</v>
      </c>
      <c r="V37" s="14">
        <f>V15/V4</f>
        <v>16.33043216785553</v>
      </c>
      <c r="W37" s="14">
        <f>W15/W4</f>
        <v>16.500979478142234</v>
      </c>
      <c r="X37" s="55" t="s">
        <v>42</v>
      </c>
    </row>
    <row r="38" spans="1:24" s="18" customFormat="1" ht="16.5">
      <c r="A38" s="183" t="s">
        <v>84</v>
      </c>
      <c r="B38" s="210" t="s">
        <v>99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f>O18/O4</f>
        <v>0.4450523207850289</v>
      </c>
      <c r="P38" s="148">
        <f>P18/P4</f>
        <v>0.29948814752967656</v>
      </c>
      <c r="Q38" s="148">
        <f aca="true" t="shared" si="16" ref="Q38:W38">Q18/Q4</f>
        <v>0.5178357425024782</v>
      </c>
      <c r="R38" s="148">
        <f t="shared" si="16"/>
        <v>0.37637047946326296</v>
      </c>
      <c r="S38" s="148">
        <f t="shared" si="16"/>
        <v>0.31234028053836105</v>
      </c>
      <c r="T38" s="148">
        <f t="shared" si="16"/>
        <v>0.2994951367694458</v>
      </c>
      <c r="U38" s="148">
        <f t="shared" si="16"/>
        <v>0.7478747000667892</v>
      </c>
      <c r="V38" s="148">
        <f t="shared" si="16"/>
        <v>0.7141544578272999</v>
      </c>
      <c r="W38" s="148">
        <f t="shared" si="16"/>
        <v>0</v>
      </c>
      <c r="X38" s="222"/>
    </row>
    <row r="39" spans="1:24" s="18" customFormat="1" ht="16.5">
      <c r="A39" s="183" t="s">
        <v>96</v>
      </c>
      <c r="B39" s="210" t="s">
        <v>99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f>O19/O4</f>
        <v>0.20624375841257436</v>
      </c>
      <c r="P39" s="229">
        <f>P19/P4</f>
        <v>0.11798017932987258</v>
      </c>
      <c r="Q39" s="229">
        <f aca="true" t="shared" si="17" ref="Q39:W39">Q19/Q4</f>
        <v>0.20713429700099129</v>
      </c>
      <c r="R39" s="229">
        <f t="shared" si="17"/>
        <v>0.13909343806251023</v>
      </c>
      <c r="S39" s="229">
        <f t="shared" si="17"/>
        <v>0.10647964109262309</v>
      </c>
      <c r="T39" s="229">
        <f t="shared" si="17"/>
        <v>0.09270087566673323</v>
      </c>
      <c r="U39" s="229">
        <f t="shared" si="17"/>
        <v>0.3878723913025553</v>
      </c>
      <c r="V39" s="229">
        <f t="shared" si="17"/>
        <v>0.33410734869113445</v>
      </c>
      <c r="W39" s="229">
        <f t="shared" si="17"/>
        <v>0</v>
      </c>
      <c r="X39" s="222"/>
    </row>
    <row r="40" spans="1:24" s="18" customFormat="1" ht="16.5">
      <c r="A40" s="183" t="s">
        <v>95</v>
      </c>
      <c r="B40" s="210" t="s">
        <v>99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f>O20/O4</f>
        <v>0.04559072554383223</v>
      </c>
      <c r="P40" s="148">
        <f>P20/P4</f>
        <v>0.005445239045994119</v>
      </c>
      <c r="Q40" s="148">
        <f aca="true" t="shared" si="18" ref="Q40:W40">Q20/Q4</f>
        <v>0.008877184157185341</v>
      </c>
      <c r="R40" s="148">
        <f t="shared" si="18"/>
        <v>0.031909671084928815</v>
      </c>
      <c r="S40" s="148">
        <f t="shared" si="18"/>
        <v>0.04287580214662957</v>
      </c>
      <c r="T40" s="148">
        <f t="shared" si="18"/>
        <v>0.049131464103368605</v>
      </c>
      <c r="U40" s="148">
        <f t="shared" si="18"/>
        <v>0.05021562208827725</v>
      </c>
      <c r="V40" s="148">
        <f t="shared" si="18"/>
        <v>0.05638061509162894</v>
      </c>
      <c r="W40" s="148">
        <f t="shared" si="18"/>
        <v>0</v>
      </c>
      <c r="X40" s="222"/>
    </row>
    <row r="41" spans="1:24" s="18" customFormat="1" ht="16.5">
      <c r="A41" s="183" t="s">
        <v>94</v>
      </c>
      <c r="B41" s="210" t="s">
        <v>99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f>O21/O4</f>
        <v>0.0072728062177065695</v>
      </c>
      <c r="P41" s="148">
        <f>P21/P4</f>
        <v>0.007260318727992159</v>
      </c>
      <c r="Q41" s="148">
        <f aca="true" t="shared" si="19" ref="Q41:W41">Q21/Q4</f>
        <v>0.012723963958632322</v>
      </c>
      <c r="R41" s="148">
        <f t="shared" si="19"/>
        <v>0.005236458844706267</v>
      </c>
      <c r="S41" s="148">
        <f t="shared" si="19"/>
        <v>0.009050769492872963</v>
      </c>
      <c r="T41" s="148">
        <f t="shared" si="19"/>
        <v>0.008742405659031918</v>
      </c>
      <c r="U41" s="148">
        <f t="shared" si="19"/>
        <v>0.009235056935775126</v>
      </c>
      <c r="V41" s="148">
        <f t="shared" si="19"/>
        <v>0.01319724027329981</v>
      </c>
      <c r="W41" s="148">
        <f t="shared" si="19"/>
        <v>0</v>
      </c>
      <c r="X41" s="222"/>
    </row>
    <row r="42" spans="13:24" ht="15">
      <c r="M42" s="22"/>
      <c r="X42" s="22"/>
    </row>
    <row r="43" spans="13:24" ht="15">
      <c r="M43" s="22"/>
      <c r="N43" s="29"/>
      <c r="O43" s="29"/>
      <c r="P43" s="29"/>
      <c r="Q43" s="29"/>
      <c r="R43" s="31"/>
      <c r="S43" s="31"/>
      <c r="T43" s="31"/>
      <c r="U43" s="31"/>
      <c r="V43" s="31"/>
      <c r="W43" s="72"/>
      <c r="X43" s="30"/>
    </row>
    <row r="44" ht="15">
      <c r="X44" s="22"/>
    </row>
    <row r="45" ht="15">
      <c r="X45" s="22"/>
    </row>
  </sheetData>
  <sheetProtection/>
  <mergeCells count="2">
    <mergeCell ref="A1:R1"/>
    <mergeCell ref="B3:B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zoomScale="130" zoomScaleNormal="130" zoomScalePageLayoutView="0" workbookViewId="0" topLeftCell="A1">
      <selection activeCell="L13" sqref="L13"/>
    </sheetView>
  </sheetViews>
  <sheetFormatPr defaultColWidth="9.140625" defaultRowHeight="15"/>
  <cols>
    <col min="1" max="1" width="17.421875" style="33" customWidth="1"/>
    <col min="2" max="2" width="7.7109375" style="34" customWidth="1"/>
    <col min="3" max="5" width="7.28125" style="35" bestFit="1" customWidth="1"/>
    <col min="6" max="9" width="8.00390625" style="35" bestFit="1" customWidth="1"/>
    <col min="10" max="10" width="9.57421875" style="35" customWidth="1"/>
    <col min="11" max="11" width="9.140625" style="35" customWidth="1"/>
    <col min="12" max="12" width="8.7109375" style="35" customWidth="1"/>
    <col min="13" max="13" width="7.8515625" style="35" customWidth="1"/>
    <col min="14" max="14" width="9.00390625" style="35" customWidth="1"/>
    <col min="15" max="15" width="10.28125" style="35" bestFit="1" customWidth="1"/>
    <col min="16" max="16" width="10.28125" style="35" customWidth="1"/>
    <col min="17" max="21" width="11.00390625" style="66" customWidth="1"/>
    <col min="22" max="22" width="10.57421875" style="66" customWidth="1"/>
    <col min="23" max="23" width="19.28125" style="36" customWidth="1"/>
    <col min="24" max="24" width="10.00390625" style="32" bestFit="1" customWidth="1"/>
    <col min="25" max="16384" width="9.140625" style="32" customWidth="1"/>
  </cols>
  <sheetData>
    <row r="1" spans="1:24" s="18" customFormat="1" ht="18">
      <c r="A1" s="236" t="s">
        <v>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51"/>
      <c r="S1" s="51"/>
      <c r="T1" s="51"/>
      <c r="U1" s="51"/>
      <c r="V1" s="68"/>
      <c r="W1" s="52"/>
      <c r="X1" s="19"/>
    </row>
    <row r="2" spans="1:23" s="18" customFormat="1" ht="24.75" customHeight="1">
      <c r="A2" s="61" t="s">
        <v>74</v>
      </c>
      <c r="B2" s="1" t="s">
        <v>0</v>
      </c>
      <c r="C2" s="38" t="s">
        <v>1</v>
      </c>
      <c r="D2" s="38" t="s">
        <v>2</v>
      </c>
      <c r="E2" s="38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62" t="s">
        <v>75</v>
      </c>
      <c r="P2" s="62" t="s">
        <v>76</v>
      </c>
      <c r="Q2" s="20" t="s">
        <v>77</v>
      </c>
      <c r="R2" s="20" t="s">
        <v>72</v>
      </c>
      <c r="S2" s="20" t="s">
        <v>67</v>
      </c>
      <c r="T2" s="20" t="s">
        <v>58</v>
      </c>
      <c r="U2" s="20" t="s">
        <v>55</v>
      </c>
      <c r="V2" s="20" t="s">
        <v>44</v>
      </c>
      <c r="W2" s="53"/>
    </row>
    <row r="3" spans="1:24" s="18" customFormat="1" ht="16.5">
      <c r="A3" s="54" t="s">
        <v>13</v>
      </c>
      <c r="B3" s="238" t="s">
        <v>14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5269</v>
      </c>
      <c r="J3" s="3">
        <v>6731</v>
      </c>
      <c r="K3" s="3">
        <v>5987</v>
      </c>
      <c r="L3" s="3">
        <v>5547</v>
      </c>
      <c r="M3" s="3">
        <v>0</v>
      </c>
      <c r="N3" s="3">
        <v>0</v>
      </c>
      <c r="O3" s="40">
        <f>SUM(A3:L3)</f>
        <v>23534</v>
      </c>
      <c r="P3" s="40">
        <v>20072</v>
      </c>
      <c r="Q3" s="40">
        <f>'TRAVELIFE CONSUPTION 2019'!O3</f>
        <v>42793</v>
      </c>
      <c r="R3" s="21">
        <v>49240</v>
      </c>
      <c r="S3" s="80">
        <v>50514</v>
      </c>
      <c r="T3" s="21">
        <v>42667</v>
      </c>
      <c r="U3" s="21">
        <f>'ATLANTICA MIKRI POLI CRETE 2015'!O3</f>
        <v>42226</v>
      </c>
      <c r="V3" s="69">
        <v>43962</v>
      </c>
      <c r="W3" s="53"/>
      <c r="X3" s="19"/>
    </row>
    <row r="4" spans="1:24" s="18" customFormat="1" ht="16.5">
      <c r="A4" s="54" t="s">
        <v>15</v>
      </c>
      <c r="B4" s="238"/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4">
        <v>17034</v>
      </c>
      <c r="J4" s="3">
        <v>21755</v>
      </c>
      <c r="K4" s="3">
        <v>13953</v>
      </c>
      <c r="L4" s="3">
        <v>14847</v>
      </c>
      <c r="M4" s="3">
        <v>0</v>
      </c>
      <c r="N4" s="3">
        <v>0</v>
      </c>
      <c r="O4" s="40">
        <f>SUM(A4:L4)</f>
        <v>67589</v>
      </c>
      <c r="P4" s="40">
        <v>58041</v>
      </c>
      <c r="Q4" s="40">
        <f>'TRAVELIFE CONSUPTION 2019'!O4</f>
        <v>122220</v>
      </c>
      <c r="R4" s="21">
        <v>140872</v>
      </c>
      <c r="S4" s="80">
        <v>140236</v>
      </c>
      <c r="T4" s="21">
        <v>121277</v>
      </c>
      <c r="U4" s="21">
        <f>'ATLANTICA MIKRI POLI CRETE 2015'!O4</f>
        <v>119722</v>
      </c>
      <c r="V4" s="69">
        <v>123137</v>
      </c>
      <c r="W4" s="53"/>
      <c r="X4" s="19"/>
    </row>
    <row r="5" spans="1:24" s="18" customFormat="1" ht="16.5">
      <c r="A5" s="63" t="s">
        <v>16</v>
      </c>
      <c r="B5" s="41"/>
      <c r="C5" s="3"/>
      <c r="D5" s="3"/>
      <c r="E5" s="3"/>
      <c r="F5" s="42"/>
      <c r="G5" s="42"/>
      <c r="H5" s="42"/>
      <c r="I5" s="42"/>
      <c r="J5" s="42"/>
      <c r="K5" s="42"/>
      <c r="L5" s="42"/>
      <c r="M5" s="42"/>
      <c r="N5" s="43"/>
      <c r="O5" s="44"/>
      <c r="P5" s="44"/>
      <c r="Q5" s="65"/>
      <c r="R5" s="65"/>
      <c r="S5" s="81"/>
      <c r="T5" s="65"/>
      <c r="U5" s="65"/>
      <c r="V5" s="65"/>
      <c r="W5" s="53"/>
      <c r="X5" s="19"/>
    </row>
    <row r="6" spans="1:24" s="25" customFormat="1" ht="15">
      <c r="A6" s="54" t="s">
        <v>17</v>
      </c>
      <c r="B6" s="45" t="s">
        <v>18</v>
      </c>
      <c r="C6" s="5">
        <v>22122</v>
      </c>
      <c r="D6" s="5">
        <v>27502</v>
      </c>
      <c r="E6" s="5">
        <v>17246</v>
      </c>
      <c r="F6" s="5">
        <v>14179</v>
      </c>
      <c r="G6" s="5">
        <v>13025</v>
      </c>
      <c r="H6" s="5">
        <v>41357</v>
      </c>
      <c r="I6" s="5">
        <v>297430</v>
      </c>
      <c r="J6" s="6">
        <v>350652</v>
      </c>
      <c r="K6" s="6">
        <v>303251</v>
      </c>
      <c r="L6" s="6">
        <v>261867</v>
      </c>
      <c r="M6" s="6">
        <v>18395</v>
      </c>
      <c r="N6" s="6">
        <v>11044</v>
      </c>
      <c r="O6" s="6">
        <f>SUM(A6:N6)</f>
        <v>1378070</v>
      </c>
      <c r="P6" s="6">
        <v>1800000</v>
      </c>
      <c r="Q6" s="23">
        <f>'TRAVELIFE CONSUPTION 2019'!O6</f>
        <v>1909715</v>
      </c>
      <c r="R6" s="23">
        <v>2022275</v>
      </c>
      <c r="S6" s="86">
        <v>2040720</v>
      </c>
      <c r="T6" s="23">
        <v>1919775</v>
      </c>
      <c r="U6" s="23">
        <f>'ATLANTICA MIKRI POLI CRETE 2015'!O6</f>
        <v>1938378</v>
      </c>
      <c r="V6" s="23">
        <v>1965625</v>
      </c>
      <c r="W6" s="53" t="s">
        <v>36</v>
      </c>
      <c r="X6" s="24">
        <f>R6/R3</f>
        <v>41.06976035743298</v>
      </c>
    </row>
    <row r="7" spans="1:24" s="25" customFormat="1" ht="15">
      <c r="A7" s="54" t="s">
        <v>17</v>
      </c>
      <c r="B7" s="45" t="s">
        <v>30</v>
      </c>
      <c r="C7" s="7">
        <v>2723</v>
      </c>
      <c r="D7" s="7">
        <v>3340</v>
      </c>
      <c r="E7" s="7">
        <v>2142</v>
      </c>
      <c r="F7" s="7">
        <v>1710</v>
      </c>
      <c r="G7" s="7">
        <v>1627</v>
      </c>
      <c r="H7" s="7">
        <v>5295</v>
      </c>
      <c r="I7" s="7">
        <v>35572</v>
      </c>
      <c r="J7" s="8">
        <v>41803</v>
      </c>
      <c r="K7" s="8">
        <v>36196</v>
      </c>
      <c r="L7" s="8">
        <v>26645.81</v>
      </c>
      <c r="M7" s="8">
        <v>2192</v>
      </c>
      <c r="N7" s="8">
        <v>1171.13</v>
      </c>
      <c r="O7" s="6">
        <f>SUM(A7:N7)</f>
        <v>160416.94</v>
      </c>
      <c r="P7" s="6">
        <v>160000</v>
      </c>
      <c r="Q7" s="87">
        <f>'TRAVELIFE CONSUPTION 2019'!O7</f>
        <v>191938.01</v>
      </c>
      <c r="R7" s="23">
        <v>214290</v>
      </c>
      <c r="S7" s="86">
        <v>224822</v>
      </c>
      <c r="T7" s="23">
        <v>207617</v>
      </c>
      <c r="U7" s="23">
        <f>'ATLANTICA MIKRI POLI CRETE 2015'!O7</f>
        <v>243776</v>
      </c>
      <c r="V7" s="23">
        <v>252347</v>
      </c>
      <c r="W7" s="53" t="s">
        <v>36</v>
      </c>
      <c r="X7" s="24">
        <f>R6/R4</f>
        <v>14.355407746038958</v>
      </c>
    </row>
    <row r="8" spans="1:24" s="25" customFormat="1" ht="15">
      <c r="A8" s="64" t="s">
        <v>31</v>
      </c>
      <c r="B8" s="45" t="s">
        <v>30</v>
      </c>
      <c r="C8" s="7">
        <v>2500</v>
      </c>
      <c r="D8" s="7">
        <v>2500</v>
      </c>
      <c r="E8" s="7">
        <v>2500</v>
      </c>
      <c r="F8" s="7">
        <v>8035</v>
      </c>
      <c r="G8" s="7">
        <v>33718</v>
      </c>
      <c r="H8" s="7">
        <v>34992</v>
      </c>
      <c r="I8" s="7">
        <v>36418</v>
      </c>
      <c r="J8" s="8">
        <v>36461</v>
      </c>
      <c r="K8" s="8">
        <v>34949</v>
      </c>
      <c r="L8" s="8">
        <v>27367</v>
      </c>
      <c r="M8" s="8">
        <v>2500</v>
      </c>
      <c r="N8" s="8">
        <v>2500</v>
      </c>
      <c r="O8" s="8">
        <f>SUM(C8:N8)</f>
        <v>224440</v>
      </c>
      <c r="P8" s="8">
        <v>224400</v>
      </c>
      <c r="Q8" s="87">
        <f>'TRAVELIFE CONSUPTION 2019'!O8</f>
        <v>220768</v>
      </c>
      <c r="R8" s="26">
        <v>219843</v>
      </c>
      <c r="S8" s="26">
        <v>224822</v>
      </c>
      <c r="T8" s="26">
        <v>207618</v>
      </c>
      <c r="U8" s="26">
        <v>243776</v>
      </c>
      <c r="V8" s="26">
        <v>252347</v>
      </c>
      <c r="W8" s="53" t="s">
        <v>36</v>
      </c>
      <c r="X8" s="24"/>
    </row>
    <row r="9" spans="1:24" s="25" customFormat="1" ht="15">
      <c r="A9" s="54" t="s">
        <v>48</v>
      </c>
      <c r="B9" s="46" t="s">
        <v>20</v>
      </c>
      <c r="C9" s="9">
        <v>0</v>
      </c>
      <c r="D9" s="9">
        <v>0</v>
      </c>
      <c r="E9" s="9">
        <v>1</v>
      </c>
      <c r="F9" s="9">
        <v>0</v>
      </c>
      <c r="G9" s="9">
        <v>0</v>
      </c>
      <c r="H9" s="9">
        <v>2673</v>
      </c>
      <c r="I9" s="9">
        <v>7700</v>
      </c>
      <c r="J9" s="9">
        <v>5394</v>
      </c>
      <c r="K9" s="9">
        <v>4</v>
      </c>
      <c r="L9" s="9">
        <v>0</v>
      </c>
      <c r="M9" s="27">
        <v>0</v>
      </c>
      <c r="N9" s="27">
        <v>0</v>
      </c>
      <c r="O9" s="21">
        <f>SUM(A9:L9)</f>
        <v>15772</v>
      </c>
      <c r="P9" s="21">
        <v>25000</v>
      </c>
      <c r="Q9" s="23">
        <f>'TRAVELIFE CONSUPTION 2019'!O9</f>
        <v>30343</v>
      </c>
      <c r="R9" s="21">
        <v>26713</v>
      </c>
      <c r="S9" s="21">
        <v>31913</v>
      </c>
      <c r="T9" s="21">
        <v>34637</v>
      </c>
      <c r="U9" s="21">
        <f>'ATLANTICA MIKRI POLI CRETE 2015'!O9</f>
        <v>43354</v>
      </c>
      <c r="V9" s="69">
        <v>49194</v>
      </c>
      <c r="W9" s="55" t="s">
        <v>37</v>
      </c>
      <c r="X9" s="24">
        <f>R11/R3</f>
        <v>0.5751421608448416</v>
      </c>
    </row>
    <row r="10" spans="1:24" s="25" customFormat="1" ht="15">
      <c r="A10" s="54" t="s">
        <v>49</v>
      </c>
      <c r="B10" s="46" t="s">
        <v>20</v>
      </c>
      <c r="C10" s="9">
        <v>188</v>
      </c>
      <c r="D10" s="9">
        <v>265</v>
      </c>
      <c r="E10" s="9">
        <v>6</v>
      </c>
      <c r="F10" s="9">
        <v>0</v>
      </c>
      <c r="G10" s="9">
        <v>0</v>
      </c>
      <c r="H10" s="9">
        <v>286</v>
      </c>
      <c r="I10" s="9">
        <v>87</v>
      </c>
      <c r="J10" s="9">
        <v>28</v>
      </c>
      <c r="K10" s="9">
        <v>76</v>
      </c>
      <c r="L10" s="9">
        <v>613</v>
      </c>
      <c r="M10" s="27">
        <v>126</v>
      </c>
      <c r="N10" s="27">
        <v>0</v>
      </c>
      <c r="O10" s="21">
        <f>SUM(A10:L10)</f>
        <v>1549</v>
      </c>
      <c r="P10" s="21">
        <v>3000</v>
      </c>
      <c r="Q10" s="23">
        <f>'TRAVELIFE CONSUPTION 2019'!O10</f>
        <v>3389</v>
      </c>
      <c r="R10" s="21">
        <v>1607</v>
      </c>
      <c r="S10" s="21">
        <v>2077</v>
      </c>
      <c r="T10" s="21">
        <v>2538</v>
      </c>
      <c r="U10" s="21">
        <v>3570</v>
      </c>
      <c r="V10" s="69">
        <v>1747</v>
      </c>
      <c r="W10" s="55" t="s">
        <v>38</v>
      </c>
      <c r="X10" s="24">
        <f>R11/R4</f>
        <v>0.2010335623828724</v>
      </c>
    </row>
    <row r="11" spans="1:24" s="25" customFormat="1" ht="15">
      <c r="A11" s="54" t="s">
        <v>50</v>
      </c>
      <c r="B11" s="47" t="s">
        <v>20</v>
      </c>
      <c r="C11" s="10">
        <f>SUM(C9:C10)</f>
        <v>188</v>
      </c>
      <c r="D11" s="10">
        <f aca="true" t="shared" si="0" ref="D11:N11">SUM(D9:D10)</f>
        <v>265</v>
      </c>
      <c r="E11" s="10">
        <f t="shared" si="0"/>
        <v>7</v>
      </c>
      <c r="F11" s="10">
        <f t="shared" si="0"/>
        <v>0</v>
      </c>
      <c r="G11" s="10">
        <f t="shared" si="0"/>
        <v>0</v>
      </c>
      <c r="H11" s="10">
        <f t="shared" si="0"/>
        <v>2959</v>
      </c>
      <c r="I11" s="10">
        <f t="shared" si="0"/>
        <v>7787</v>
      </c>
      <c r="J11" s="10">
        <f t="shared" si="0"/>
        <v>5422</v>
      </c>
      <c r="K11" s="10">
        <f t="shared" si="0"/>
        <v>80</v>
      </c>
      <c r="L11" s="10">
        <f t="shared" si="0"/>
        <v>613</v>
      </c>
      <c r="M11" s="10">
        <f t="shared" si="0"/>
        <v>126</v>
      </c>
      <c r="N11" s="10">
        <f t="shared" si="0"/>
        <v>0</v>
      </c>
      <c r="O11" s="48">
        <f>SUM(A11:L11)</f>
        <v>17321</v>
      </c>
      <c r="P11" s="48">
        <f>SUM(P9:P10)</f>
        <v>28000</v>
      </c>
      <c r="Q11" s="23">
        <f>'TRAVELIFE CONSUPTION 2019'!O11</f>
        <v>33732</v>
      </c>
      <c r="R11" s="21">
        <v>28320</v>
      </c>
      <c r="S11" s="21">
        <v>33990</v>
      </c>
      <c r="T11" s="21">
        <v>37175</v>
      </c>
      <c r="U11" s="21">
        <v>46924</v>
      </c>
      <c r="V11" s="69">
        <v>50940</v>
      </c>
      <c r="W11" s="56" t="s">
        <v>39</v>
      </c>
      <c r="X11" s="24"/>
    </row>
    <row r="12" spans="1:24" s="25" customFormat="1" ht="15">
      <c r="A12" s="64" t="s">
        <v>34</v>
      </c>
      <c r="B12" s="46" t="s">
        <v>30</v>
      </c>
      <c r="C12" s="11">
        <v>500</v>
      </c>
      <c r="D12" s="11">
        <v>500</v>
      </c>
      <c r="E12" s="11">
        <v>500</v>
      </c>
      <c r="F12" s="11">
        <v>1000</v>
      </c>
      <c r="G12" s="11">
        <v>2732</v>
      </c>
      <c r="H12" s="11">
        <v>3175</v>
      </c>
      <c r="I12" s="11">
        <v>3895</v>
      </c>
      <c r="J12" s="11">
        <v>3899</v>
      </c>
      <c r="K12" s="11">
        <v>2718</v>
      </c>
      <c r="L12" s="11">
        <v>2306</v>
      </c>
      <c r="M12" s="11">
        <v>500</v>
      </c>
      <c r="N12" s="11">
        <v>500</v>
      </c>
      <c r="O12" s="11">
        <f>SUM(C12:N12)</f>
        <v>22225</v>
      </c>
      <c r="P12" s="11">
        <v>22225</v>
      </c>
      <c r="Q12" s="87">
        <f>'TRAVELIFE CONSUPTION 2019'!O12</f>
        <v>22457</v>
      </c>
      <c r="R12" s="26">
        <v>20634</v>
      </c>
      <c r="S12" s="26">
        <v>22932</v>
      </c>
      <c r="T12" s="26">
        <v>22326</v>
      </c>
      <c r="U12" s="26">
        <v>23592</v>
      </c>
      <c r="V12" s="26">
        <v>25000</v>
      </c>
      <c r="W12" s="55" t="s">
        <v>40</v>
      </c>
      <c r="X12" s="24"/>
    </row>
    <row r="13" spans="1:24" s="25" customFormat="1" ht="15">
      <c r="A13" s="54" t="s">
        <v>21</v>
      </c>
      <c r="B13" s="46" t="s">
        <v>22</v>
      </c>
      <c r="C13" s="9">
        <v>35</v>
      </c>
      <c r="D13" s="9">
        <v>72</v>
      </c>
      <c r="E13" s="9">
        <v>71</v>
      </c>
      <c r="F13" s="9">
        <v>25</v>
      </c>
      <c r="G13" s="9">
        <v>0</v>
      </c>
      <c r="H13" s="9">
        <v>111</v>
      </c>
      <c r="I13" s="9">
        <v>176</v>
      </c>
      <c r="J13" s="9">
        <v>175</v>
      </c>
      <c r="K13" s="9"/>
      <c r="L13" s="9">
        <v>60</v>
      </c>
      <c r="M13" s="9">
        <v>0</v>
      </c>
      <c r="N13" s="9">
        <v>0</v>
      </c>
      <c r="O13" s="21">
        <f>SUM(A13:L13)</f>
        <v>725</v>
      </c>
      <c r="P13" s="21">
        <v>1300</v>
      </c>
      <c r="Q13" s="23">
        <f>'TRAVELIFE CONSUPTION 2019'!O13</f>
        <v>1560.27</v>
      </c>
      <c r="R13" s="21">
        <v>3112.9300000000003</v>
      </c>
      <c r="S13" s="21">
        <v>3941.15</v>
      </c>
      <c r="T13" s="21">
        <v>1895</v>
      </c>
      <c r="U13" s="21">
        <v>3376</v>
      </c>
      <c r="V13" s="69">
        <v>6330</v>
      </c>
      <c r="W13" s="55" t="s">
        <v>41</v>
      </c>
      <c r="X13" s="24"/>
    </row>
    <row r="14" spans="1:24" s="25" customFormat="1" ht="15">
      <c r="A14" s="54" t="s">
        <v>21</v>
      </c>
      <c r="B14" s="46" t="s">
        <v>18</v>
      </c>
      <c r="C14" s="9">
        <f>C13*10.467</f>
        <v>366.345</v>
      </c>
      <c r="D14" s="9">
        <f>D13*10.467</f>
        <v>753.624</v>
      </c>
      <c r="E14" s="9">
        <f>E13*10.467</f>
        <v>743.157</v>
      </c>
      <c r="F14" s="9">
        <f>F13*10.467</f>
        <v>261.675</v>
      </c>
      <c r="G14" s="9">
        <f aca="true" t="shared" si="1" ref="G14:N14">G13*10.467</f>
        <v>0</v>
      </c>
      <c r="H14" s="9">
        <f t="shared" si="1"/>
        <v>1161.837</v>
      </c>
      <c r="I14" s="9">
        <f t="shared" si="1"/>
        <v>1842.192</v>
      </c>
      <c r="J14" s="9">
        <f t="shared" si="1"/>
        <v>1831.7250000000001</v>
      </c>
      <c r="K14" s="9">
        <f t="shared" si="1"/>
        <v>0</v>
      </c>
      <c r="L14" s="9">
        <f t="shared" si="1"/>
        <v>628.02</v>
      </c>
      <c r="M14" s="9">
        <f t="shared" si="1"/>
        <v>0</v>
      </c>
      <c r="N14" s="9">
        <f t="shared" si="1"/>
        <v>0</v>
      </c>
      <c r="O14" s="21">
        <f>SUM(A14:L14)</f>
        <v>7588.575000000001</v>
      </c>
      <c r="P14" s="21">
        <v>15000</v>
      </c>
      <c r="Q14" s="23">
        <f>'TRAVELIFE CONSUPTION 2019'!O14</f>
        <v>16331.346090000001</v>
      </c>
      <c r="R14" s="21">
        <v>32583.038310000004</v>
      </c>
      <c r="S14" s="21">
        <v>41252.01705</v>
      </c>
      <c r="T14" s="21">
        <v>19834.965000000004</v>
      </c>
      <c r="U14" s="21">
        <v>35337</v>
      </c>
      <c r="V14" s="69">
        <f>V13*10.467</f>
        <v>66256.11</v>
      </c>
      <c r="W14" s="55"/>
      <c r="X14" s="24"/>
    </row>
    <row r="15" spans="1:24" s="25" customFormat="1" ht="15">
      <c r="A15" s="54" t="s">
        <v>32</v>
      </c>
      <c r="B15" s="46" t="s">
        <v>18</v>
      </c>
      <c r="C15" s="9">
        <f>C6+C14</f>
        <v>22488.345</v>
      </c>
      <c r="D15" s="9">
        <f aca="true" t="shared" si="2" ref="D15:N15">D6+D14</f>
        <v>28255.624</v>
      </c>
      <c r="E15" s="9">
        <f t="shared" si="2"/>
        <v>17989.157</v>
      </c>
      <c r="F15" s="9">
        <f t="shared" si="2"/>
        <v>14440.675</v>
      </c>
      <c r="G15" s="9">
        <f t="shared" si="2"/>
        <v>13025</v>
      </c>
      <c r="H15" s="9">
        <f t="shared" si="2"/>
        <v>42518.837</v>
      </c>
      <c r="I15" s="9">
        <f t="shared" si="2"/>
        <v>299272.192</v>
      </c>
      <c r="J15" s="9">
        <f t="shared" si="2"/>
        <v>352483.725</v>
      </c>
      <c r="K15" s="9">
        <f t="shared" si="2"/>
        <v>303251</v>
      </c>
      <c r="L15" s="9">
        <f t="shared" si="2"/>
        <v>262495.02</v>
      </c>
      <c r="M15" s="9">
        <f t="shared" si="2"/>
        <v>18395</v>
      </c>
      <c r="N15" s="9">
        <f t="shared" si="2"/>
        <v>11044</v>
      </c>
      <c r="O15" s="21">
        <f>SUM(A15:L15)</f>
        <v>1356219.575</v>
      </c>
      <c r="P15" s="21">
        <f>P6+P14</f>
        <v>1815000</v>
      </c>
      <c r="Q15" s="23">
        <f>'TRAVELIFE CONSUPTION 2019'!O15</f>
        <v>1926046.3460900001</v>
      </c>
      <c r="R15" s="21">
        <v>2054858.0383100002</v>
      </c>
      <c r="S15" s="21">
        <v>2081972.0170500001</v>
      </c>
      <c r="T15" s="21">
        <v>1939609.965</v>
      </c>
      <c r="U15" s="21">
        <v>1955112</v>
      </c>
      <c r="V15" s="69">
        <f>V14+V6</f>
        <v>2031881.11</v>
      </c>
      <c r="W15" s="55"/>
      <c r="X15" s="24"/>
    </row>
    <row r="16" spans="1:24" s="79" customFormat="1" ht="15">
      <c r="A16" s="73" t="s">
        <v>21</v>
      </c>
      <c r="B16" s="74" t="s">
        <v>30</v>
      </c>
      <c r="C16" s="75">
        <f aca="true" t="shared" si="3" ref="C16:N16">C13*1.18</f>
        <v>41.3</v>
      </c>
      <c r="D16" s="75">
        <f t="shared" si="3"/>
        <v>84.96</v>
      </c>
      <c r="E16" s="75">
        <f t="shared" si="3"/>
        <v>83.78</v>
      </c>
      <c r="F16" s="75">
        <f t="shared" si="3"/>
        <v>29.5</v>
      </c>
      <c r="G16" s="75">
        <f t="shared" si="3"/>
        <v>0</v>
      </c>
      <c r="H16" s="75">
        <f t="shared" si="3"/>
        <v>130.98</v>
      </c>
      <c r="I16" s="75">
        <f t="shared" si="3"/>
        <v>207.67999999999998</v>
      </c>
      <c r="J16" s="75">
        <f t="shared" si="3"/>
        <v>206.5</v>
      </c>
      <c r="K16" s="75">
        <f t="shared" si="3"/>
        <v>0</v>
      </c>
      <c r="L16" s="75">
        <f t="shared" si="3"/>
        <v>70.8</v>
      </c>
      <c r="M16" s="75">
        <f t="shared" si="3"/>
        <v>0</v>
      </c>
      <c r="N16" s="75">
        <f t="shared" si="3"/>
        <v>0</v>
      </c>
      <c r="O16" s="76">
        <f>SUM(A16:L16)</f>
        <v>855.4999999999999</v>
      </c>
      <c r="P16" s="76">
        <f>P13*1.18</f>
        <v>1534</v>
      </c>
      <c r="Q16" s="23">
        <f>'TRAVELIFE CONSUPTION 2019'!O16</f>
        <v>2031.9185999999997</v>
      </c>
      <c r="R16" s="76">
        <v>4500.2378</v>
      </c>
      <c r="S16" s="21">
        <v>4217.0305</v>
      </c>
      <c r="T16" s="76">
        <v>1781.3</v>
      </c>
      <c r="U16" s="76">
        <v>3511.04</v>
      </c>
      <c r="V16" s="77">
        <v>8900</v>
      </c>
      <c r="W16" s="55"/>
      <c r="X16" s="78"/>
    </row>
    <row r="17" spans="1:24" s="25" customFormat="1" ht="15">
      <c r="A17" s="64" t="s">
        <v>51</v>
      </c>
      <c r="B17" s="46" t="s">
        <v>30</v>
      </c>
      <c r="C17" s="11">
        <v>0</v>
      </c>
      <c r="D17" s="11">
        <v>0</v>
      </c>
      <c r="E17" s="11">
        <v>0</v>
      </c>
      <c r="F17" s="11">
        <v>56</v>
      </c>
      <c r="G17" s="11">
        <v>234</v>
      </c>
      <c r="H17" s="11">
        <v>243</v>
      </c>
      <c r="I17" s="11">
        <v>253</v>
      </c>
      <c r="J17" s="11">
        <v>253</v>
      </c>
      <c r="K17" s="11">
        <v>243</v>
      </c>
      <c r="L17" s="11">
        <v>190</v>
      </c>
      <c r="M17" s="11">
        <v>0</v>
      </c>
      <c r="N17" s="11">
        <v>0</v>
      </c>
      <c r="O17" s="67">
        <f>SUM(A17:L17)</f>
        <v>1472</v>
      </c>
      <c r="P17" s="67">
        <v>1472</v>
      </c>
      <c r="Q17" s="87">
        <f>'TRAVELIFE CONSUPTION 2019'!O17</f>
        <v>1447</v>
      </c>
      <c r="R17" s="67">
        <v>480</v>
      </c>
      <c r="S17" s="67">
        <v>3131</v>
      </c>
      <c r="T17" s="67">
        <v>4830</v>
      </c>
      <c r="U17" s="67">
        <v>7500</v>
      </c>
      <c r="V17" s="70">
        <v>8900</v>
      </c>
      <c r="W17" s="55"/>
      <c r="X17" s="24"/>
    </row>
    <row r="18" spans="1:24" s="25" customFormat="1" ht="15">
      <c r="A18" s="183" t="s">
        <v>84</v>
      </c>
      <c r="B18" s="210" t="s">
        <v>93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9">
        <v>35000</v>
      </c>
      <c r="O18" s="139">
        <v>35000</v>
      </c>
      <c r="P18" s="86">
        <v>40000</v>
      </c>
      <c r="Q18" s="86">
        <v>46000</v>
      </c>
      <c r="R18" s="86">
        <v>44000</v>
      </c>
      <c r="S18" s="67">
        <v>42000</v>
      </c>
      <c r="T18" s="67">
        <v>90700</v>
      </c>
      <c r="U18" s="67">
        <v>85500</v>
      </c>
      <c r="V18" s="70">
        <v>0</v>
      </c>
      <c r="W18" s="55"/>
      <c r="X18" s="24"/>
    </row>
    <row r="19" spans="1:24" s="25" customFormat="1" ht="15">
      <c r="A19" s="183" t="s">
        <v>96</v>
      </c>
      <c r="B19" s="210" t="s">
        <v>93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9">
        <v>14000</v>
      </c>
      <c r="O19" s="139">
        <v>14000</v>
      </c>
      <c r="P19" s="86">
        <v>15000</v>
      </c>
      <c r="Q19" s="86">
        <v>17000</v>
      </c>
      <c r="R19" s="86">
        <v>15000</v>
      </c>
      <c r="S19" s="67">
        <v>13000</v>
      </c>
      <c r="T19" s="67">
        <v>47040</v>
      </c>
      <c r="U19" s="67">
        <v>40000</v>
      </c>
      <c r="V19" s="70">
        <v>0</v>
      </c>
      <c r="W19" s="55"/>
      <c r="X19" s="24"/>
    </row>
    <row r="20" spans="1:24" s="25" customFormat="1" ht="15">
      <c r="A20" s="183" t="s">
        <v>95</v>
      </c>
      <c r="B20" s="210" t="s">
        <v>93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9">
        <v>600</v>
      </c>
      <c r="O20" s="139">
        <v>600</v>
      </c>
      <c r="P20" s="86">
        <v>2000</v>
      </c>
      <c r="Q20" s="86">
        <v>3900</v>
      </c>
      <c r="R20" s="86">
        <v>6040</v>
      </c>
      <c r="S20" s="67">
        <v>6890</v>
      </c>
      <c r="T20" s="67">
        <v>6090</v>
      </c>
      <c r="U20" s="67">
        <v>6750</v>
      </c>
      <c r="V20" s="70">
        <v>0</v>
      </c>
      <c r="W20" s="55"/>
      <c r="X20" s="24"/>
    </row>
    <row r="21" spans="1:24" s="25" customFormat="1" ht="15">
      <c r="A21" s="183" t="s">
        <v>94</v>
      </c>
      <c r="B21" s="210" t="s">
        <v>93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9">
        <v>860</v>
      </c>
      <c r="O21" s="139">
        <v>860</v>
      </c>
      <c r="P21" s="86">
        <v>1000</v>
      </c>
      <c r="Q21" s="86">
        <v>640</v>
      </c>
      <c r="R21" s="86">
        <v>1275</v>
      </c>
      <c r="S21" s="67">
        <v>1226</v>
      </c>
      <c r="T21" s="67">
        <v>1120</v>
      </c>
      <c r="U21" s="67">
        <v>1580</v>
      </c>
      <c r="V21" s="70">
        <v>0</v>
      </c>
      <c r="W21" s="55"/>
      <c r="X21" s="24"/>
    </row>
    <row r="22" spans="1:24" s="25" customFormat="1" ht="15">
      <c r="A22" s="57" t="s">
        <v>23</v>
      </c>
      <c r="B22" s="49" t="s">
        <v>22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50">
        <v>0</v>
      </c>
      <c r="P22" s="50"/>
      <c r="Q22" s="37">
        <v>0</v>
      </c>
      <c r="R22" s="37">
        <v>0</v>
      </c>
      <c r="S22" s="83">
        <v>0</v>
      </c>
      <c r="T22" s="37">
        <v>0</v>
      </c>
      <c r="U22" s="37"/>
      <c r="V22" s="71">
        <v>0</v>
      </c>
      <c r="W22" s="58" t="s">
        <v>45</v>
      </c>
      <c r="X22" s="24"/>
    </row>
    <row r="23" spans="1:24" s="18" customFormat="1" ht="16.5">
      <c r="A23" s="63" t="s">
        <v>64</v>
      </c>
      <c r="B23" s="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82"/>
      <c r="T23" s="15"/>
      <c r="U23" s="15"/>
      <c r="V23" s="15"/>
      <c r="W23" s="55"/>
      <c r="X23" s="19"/>
    </row>
    <row r="24" spans="1:24" s="18" customFormat="1" ht="16.5">
      <c r="A24" s="54" t="s">
        <v>17</v>
      </c>
      <c r="B24" s="2" t="s">
        <v>46</v>
      </c>
      <c r="C24" s="13" t="e">
        <f aca="true" t="shared" si="4" ref="C24:U24">C6/C3</f>
        <v>#DIV/0!</v>
      </c>
      <c r="D24" s="13" t="e">
        <f t="shared" si="4"/>
        <v>#DIV/0!</v>
      </c>
      <c r="E24" s="13" t="e">
        <f t="shared" si="4"/>
        <v>#DIV/0!</v>
      </c>
      <c r="F24" s="13" t="e">
        <f t="shared" si="4"/>
        <v>#DIV/0!</v>
      </c>
      <c r="G24" s="13" t="e">
        <f t="shared" si="4"/>
        <v>#DIV/0!</v>
      </c>
      <c r="H24" s="13" t="e">
        <f t="shared" si="4"/>
        <v>#DIV/0!</v>
      </c>
      <c r="I24" s="13">
        <f t="shared" si="4"/>
        <v>56.449041563864114</v>
      </c>
      <c r="J24" s="13">
        <f t="shared" si="4"/>
        <v>52.09508245431585</v>
      </c>
      <c r="K24" s="13">
        <f t="shared" si="4"/>
        <v>50.651578419909804</v>
      </c>
      <c r="L24" s="13">
        <f t="shared" si="4"/>
        <v>47.208761492698756</v>
      </c>
      <c r="M24" s="13" t="e">
        <f t="shared" si="4"/>
        <v>#DIV/0!</v>
      </c>
      <c r="N24" s="13" t="e">
        <f t="shared" si="4"/>
        <v>#DIV/0!</v>
      </c>
      <c r="O24" s="13">
        <f>O6/O3</f>
        <v>58.55655647148806</v>
      </c>
      <c r="P24" s="13">
        <f>P6/P3</f>
        <v>89.67716221602232</v>
      </c>
      <c r="Q24" s="13">
        <f>Q6/Q3</f>
        <v>44.626808122823824</v>
      </c>
      <c r="R24" s="13">
        <v>41.06976035743298</v>
      </c>
      <c r="S24" s="13">
        <v>40.39909727996199</v>
      </c>
      <c r="T24" s="13">
        <f t="shared" si="4"/>
        <v>44.99437504394497</v>
      </c>
      <c r="U24" s="13">
        <f t="shared" si="4"/>
        <v>45.90484535594184</v>
      </c>
      <c r="V24" s="13">
        <f>V6/V3</f>
        <v>44.711910286156225</v>
      </c>
      <c r="W24" s="55" t="s">
        <v>36</v>
      </c>
      <c r="X24" s="19"/>
    </row>
    <row r="25" spans="1:24" s="18" customFormat="1" ht="16.5">
      <c r="A25" s="54" t="s">
        <v>19</v>
      </c>
      <c r="B25" s="1" t="s">
        <v>25</v>
      </c>
      <c r="C25" s="14" t="e">
        <f>C11/C3</f>
        <v>#DIV/0!</v>
      </c>
      <c r="D25" s="14" t="e">
        <f aca="true" t="shared" si="5" ref="D25:N25">D11/D3</f>
        <v>#DIV/0!</v>
      </c>
      <c r="E25" s="14" t="e">
        <f t="shared" si="5"/>
        <v>#DIV/0!</v>
      </c>
      <c r="F25" s="14" t="e">
        <f t="shared" si="5"/>
        <v>#DIV/0!</v>
      </c>
      <c r="G25" s="14" t="e">
        <f t="shared" si="5"/>
        <v>#DIV/0!</v>
      </c>
      <c r="H25" s="14" t="e">
        <f t="shared" si="5"/>
        <v>#DIV/0!</v>
      </c>
      <c r="I25" s="14">
        <f t="shared" si="5"/>
        <v>1.4778895426077054</v>
      </c>
      <c r="J25" s="14">
        <f t="shared" si="5"/>
        <v>0.8055266676571089</v>
      </c>
      <c r="K25" s="14">
        <f t="shared" si="5"/>
        <v>0.013362284950726574</v>
      </c>
      <c r="L25" s="14">
        <f t="shared" si="5"/>
        <v>0.11051018568595637</v>
      </c>
      <c r="M25" s="14" t="e">
        <f t="shared" si="5"/>
        <v>#DIV/0!</v>
      </c>
      <c r="N25" s="14" t="e">
        <f t="shared" si="5"/>
        <v>#DIV/0!</v>
      </c>
      <c r="O25" s="14">
        <f>O11/O3</f>
        <v>0.7359989801988612</v>
      </c>
      <c r="P25" s="14">
        <f>P11/P3</f>
        <v>1.3949780789159028</v>
      </c>
      <c r="Q25" s="14">
        <f>Q11/Q3</f>
        <v>0.7882597621106255</v>
      </c>
      <c r="R25" s="14">
        <v>0.5751421608448416</v>
      </c>
      <c r="S25" s="14">
        <v>0.6728827651740111</v>
      </c>
      <c r="T25" s="14">
        <f>T11/T3</f>
        <v>0.871282255607378</v>
      </c>
      <c r="U25" s="14">
        <f>U11/U3</f>
        <v>1.1112584663477478</v>
      </c>
      <c r="V25" s="14">
        <f>V11/V3</f>
        <v>1.1587279923570357</v>
      </c>
      <c r="W25" s="53" t="s">
        <v>38</v>
      </c>
      <c r="X25" s="19"/>
    </row>
    <row r="26" spans="1:23" s="18" customFormat="1" ht="16.5">
      <c r="A26" s="54" t="s">
        <v>21</v>
      </c>
      <c r="B26" s="1" t="s">
        <v>47</v>
      </c>
      <c r="C26" s="14" t="e">
        <f aca="true" t="shared" si="6" ref="C26:V26">C13/C3</f>
        <v>#DIV/0!</v>
      </c>
      <c r="D26" s="14" t="e">
        <f t="shared" si="6"/>
        <v>#DIV/0!</v>
      </c>
      <c r="E26" s="14" t="e">
        <f t="shared" si="6"/>
        <v>#DIV/0!</v>
      </c>
      <c r="F26" s="14" t="e">
        <f t="shared" si="6"/>
        <v>#DIV/0!</v>
      </c>
      <c r="G26" s="14" t="e">
        <f t="shared" si="6"/>
        <v>#DIV/0!</v>
      </c>
      <c r="H26" s="14" t="e">
        <f t="shared" si="6"/>
        <v>#DIV/0!</v>
      </c>
      <c r="I26" s="14">
        <f t="shared" si="6"/>
        <v>0.033402922755741124</v>
      </c>
      <c r="J26" s="14">
        <f t="shared" si="6"/>
        <v>0.02599910860199079</v>
      </c>
      <c r="K26" s="14">
        <f t="shared" si="6"/>
        <v>0</v>
      </c>
      <c r="L26" s="14">
        <f t="shared" si="6"/>
        <v>0.01081665765278529</v>
      </c>
      <c r="M26" s="14" t="e">
        <f t="shared" si="6"/>
        <v>#DIV/0!</v>
      </c>
      <c r="N26" s="14" t="e">
        <f t="shared" si="6"/>
        <v>#DIV/0!</v>
      </c>
      <c r="O26" s="14">
        <f>O13/O3</f>
        <v>0.030806492733916887</v>
      </c>
      <c r="P26" s="14">
        <f>P13/P3</f>
        <v>0.06476683937823834</v>
      </c>
      <c r="Q26" s="13">
        <f>Q13/Q3</f>
        <v>0.03646086976842007</v>
      </c>
      <c r="R26" s="13">
        <v>0.06321953696181966</v>
      </c>
      <c r="S26" s="13">
        <v>0.07802094468860118</v>
      </c>
      <c r="T26" s="13">
        <f t="shared" si="6"/>
        <v>0.044413715517847514</v>
      </c>
      <c r="U26" s="13">
        <f t="shared" si="6"/>
        <v>0.07995074124946715</v>
      </c>
      <c r="V26" s="13">
        <f t="shared" si="6"/>
        <v>0.1439879896274055</v>
      </c>
      <c r="W26" s="53" t="s">
        <v>41</v>
      </c>
    </row>
    <row r="27" spans="1:23" s="18" customFormat="1" ht="16.5">
      <c r="A27" s="54" t="s">
        <v>32</v>
      </c>
      <c r="B27" s="45" t="s">
        <v>33</v>
      </c>
      <c r="C27" s="14" t="e">
        <f>C15/C3</f>
        <v>#DIV/0!</v>
      </c>
      <c r="D27" s="14" t="e">
        <f aca="true" t="shared" si="7" ref="D27:N27">D15/D3</f>
        <v>#DIV/0!</v>
      </c>
      <c r="E27" s="14" t="e">
        <f t="shared" si="7"/>
        <v>#DIV/0!</v>
      </c>
      <c r="F27" s="14" t="e">
        <f t="shared" si="7"/>
        <v>#DIV/0!</v>
      </c>
      <c r="G27" s="14" t="e">
        <f t="shared" si="7"/>
        <v>#DIV/0!</v>
      </c>
      <c r="H27" s="14" t="e">
        <f t="shared" si="7"/>
        <v>#DIV/0!</v>
      </c>
      <c r="I27" s="14">
        <f t="shared" si="7"/>
        <v>56.79866995634845</v>
      </c>
      <c r="J27" s="14">
        <f t="shared" si="7"/>
        <v>52.36721512405288</v>
      </c>
      <c r="K27" s="14">
        <f t="shared" si="7"/>
        <v>50.651578419909804</v>
      </c>
      <c r="L27" s="14">
        <f t="shared" si="7"/>
        <v>47.32197944835046</v>
      </c>
      <c r="M27" s="14" t="e">
        <f t="shared" si="7"/>
        <v>#DIV/0!</v>
      </c>
      <c r="N27" s="14" t="e">
        <f t="shared" si="7"/>
        <v>#DIV/0!</v>
      </c>
      <c r="O27" s="14">
        <f>O15/O3</f>
        <v>57.62809445908048</v>
      </c>
      <c r="P27" s="14">
        <f>P15/P3</f>
        <v>90.42447190115584</v>
      </c>
      <c r="Q27" s="14">
        <f>Q15/Q3</f>
        <v>45.00844404668988</v>
      </c>
      <c r="R27" s="14">
        <v>41.73147925081235</v>
      </c>
      <c r="S27" s="14">
        <v>41.215742508017584</v>
      </c>
      <c r="T27" s="14">
        <f>T15/T3</f>
        <v>45.45925340427028</v>
      </c>
      <c r="U27" s="14">
        <f>U15/U3</f>
        <v>46.30114147681523</v>
      </c>
      <c r="V27" s="14">
        <f>V15/V3</f>
        <v>46.21903257358628</v>
      </c>
      <c r="W27" s="55" t="s">
        <v>42</v>
      </c>
    </row>
    <row r="28" spans="1:23" s="18" customFormat="1" ht="16.5">
      <c r="A28" s="138" t="s">
        <v>84</v>
      </c>
      <c r="B28" s="230" t="s">
        <v>98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>
        <f>O18/O3</f>
        <v>1.48720999405116</v>
      </c>
      <c r="P28" s="218">
        <f aca="true" t="shared" si="8" ref="P28:V28">P18/P3</f>
        <v>1.9928258270227182</v>
      </c>
      <c r="Q28" s="218">
        <f t="shared" si="8"/>
        <v>1.0749421634379455</v>
      </c>
      <c r="R28" s="218">
        <f t="shared" si="8"/>
        <v>0.8935824532900081</v>
      </c>
      <c r="S28" s="218">
        <f t="shared" si="8"/>
        <v>0.8314526665874807</v>
      </c>
      <c r="T28" s="218">
        <f t="shared" si="8"/>
        <v>2.125764642463731</v>
      </c>
      <c r="U28" s="218">
        <f t="shared" si="8"/>
        <v>2.024818831999242</v>
      </c>
      <c r="V28" s="218">
        <f t="shared" si="8"/>
        <v>0</v>
      </c>
      <c r="W28" s="219"/>
    </row>
    <row r="29" spans="1:23" s="18" customFormat="1" ht="16.5">
      <c r="A29" s="138" t="s">
        <v>96</v>
      </c>
      <c r="B29" s="230" t="s">
        <v>98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>
        <f>O19/O3</f>
        <v>0.594883997620464</v>
      </c>
      <c r="P29" s="218">
        <f aca="true" t="shared" si="9" ref="P29:V29">P19/P3</f>
        <v>0.7473096851335194</v>
      </c>
      <c r="Q29" s="218">
        <f t="shared" si="9"/>
        <v>0.3972612343140233</v>
      </c>
      <c r="R29" s="218">
        <f t="shared" si="9"/>
        <v>0.30463038180341184</v>
      </c>
      <c r="S29" s="218">
        <f t="shared" si="9"/>
        <v>0.2573543968008869</v>
      </c>
      <c r="T29" s="218">
        <f t="shared" si="9"/>
        <v>1.1024913867860406</v>
      </c>
      <c r="U29" s="218">
        <f t="shared" si="9"/>
        <v>0.9472836640932127</v>
      </c>
      <c r="V29" s="218">
        <f t="shared" si="9"/>
        <v>0</v>
      </c>
      <c r="W29" s="219"/>
    </row>
    <row r="30" spans="1:23" s="18" customFormat="1" ht="16.5">
      <c r="A30" s="138" t="s">
        <v>95</v>
      </c>
      <c r="B30" s="230" t="s">
        <v>98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>
        <f>O20/O3</f>
        <v>0.02549502846944846</v>
      </c>
      <c r="P30" s="218">
        <f aca="true" t="shared" si="10" ref="P30:V30">P20/P3</f>
        <v>0.0996412913511359</v>
      </c>
      <c r="Q30" s="218">
        <f t="shared" si="10"/>
        <v>0.09113640081321711</v>
      </c>
      <c r="R30" s="218">
        <f t="shared" si="10"/>
        <v>0.12266450040617384</v>
      </c>
      <c r="S30" s="218">
        <f t="shared" si="10"/>
        <v>0.13639783030447006</v>
      </c>
      <c r="T30" s="218">
        <f t="shared" si="10"/>
        <v>0.14273325989640706</v>
      </c>
      <c r="U30" s="218">
        <f t="shared" si="10"/>
        <v>0.15985411831572965</v>
      </c>
      <c r="V30" s="218">
        <f t="shared" si="10"/>
        <v>0</v>
      </c>
      <c r="W30" s="219"/>
    </row>
    <row r="31" spans="1:23" s="18" customFormat="1" ht="16.5">
      <c r="A31" s="138" t="s">
        <v>94</v>
      </c>
      <c r="B31" s="230" t="s">
        <v>98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>
        <f>O21/O3</f>
        <v>0.03654287413954279</v>
      </c>
      <c r="P31" s="218">
        <f aca="true" t="shared" si="11" ref="P31:V31">P21/P3</f>
        <v>0.04982064567556795</v>
      </c>
      <c r="Q31" s="218">
        <f t="shared" si="11"/>
        <v>0.014955717056527937</v>
      </c>
      <c r="R31" s="218">
        <f t="shared" si="11"/>
        <v>0.025893582453290008</v>
      </c>
      <c r="S31" s="218">
        <f t="shared" si="11"/>
        <v>0.024270499267529794</v>
      </c>
      <c r="T31" s="218">
        <f t="shared" si="11"/>
        <v>0.02624979492347716</v>
      </c>
      <c r="U31" s="218">
        <f t="shared" si="11"/>
        <v>0.037417704731681906</v>
      </c>
      <c r="V31" s="218">
        <f t="shared" si="11"/>
        <v>0</v>
      </c>
      <c r="W31" s="219"/>
    </row>
    <row r="32" spans="1:23" s="18" customFormat="1" ht="17.25" thickBot="1">
      <c r="A32" s="59" t="s">
        <v>26</v>
      </c>
      <c r="B32" s="16" t="s">
        <v>27</v>
      </c>
      <c r="C32" s="17" t="e">
        <f aca="true" t="shared" si="12" ref="C32:N32">C22/C4</f>
        <v>#DIV/0!</v>
      </c>
      <c r="D32" s="17" t="e">
        <f t="shared" si="12"/>
        <v>#DIV/0!</v>
      </c>
      <c r="E32" s="17" t="e">
        <f t="shared" si="12"/>
        <v>#DIV/0!</v>
      </c>
      <c r="F32" s="17" t="e">
        <f t="shared" si="12"/>
        <v>#DIV/0!</v>
      </c>
      <c r="G32" s="17" t="e">
        <f t="shared" si="12"/>
        <v>#DIV/0!</v>
      </c>
      <c r="H32" s="17" t="e">
        <f t="shared" si="12"/>
        <v>#DIV/0!</v>
      </c>
      <c r="I32" s="17">
        <f t="shared" si="12"/>
        <v>0</v>
      </c>
      <c r="J32" s="17">
        <f t="shared" si="12"/>
        <v>0</v>
      </c>
      <c r="K32" s="17">
        <f t="shared" si="12"/>
        <v>0</v>
      </c>
      <c r="L32" s="17">
        <f t="shared" si="12"/>
        <v>0</v>
      </c>
      <c r="M32" s="17" t="e">
        <f t="shared" si="12"/>
        <v>#DIV/0!</v>
      </c>
      <c r="N32" s="17" t="e">
        <f t="shared" si="12"/>
        <v>#DIV/0!</v>
      </c>
      <c r="O32" s="17">
        <f>O22/O4</f>
        <v>0</v>
      </c>
      <c r="P32" s="17">
        <f>P22/P4</f>
        <v>0</v>
      </c>
      <c r="Q32" s="17">
        <v>0</v>
      </c>
      <c r="R32" s="17">
        <v>0</v>
      </c>
      <c r="S32" s="84">
        <v>0</v>
      </c>
      <c r="T32" s="17">
        <v>0</v>
      </c>
      <c r="U32" s="17"/>
      <c r="V32" s="17">
        <v>0</v>
      </c>
      <c r="W32" s="60" t="s">
        <v>45</v>
      </c>
    </row>
    <row r="33" spans="1:24" ht="18.75">
      <c r="A33" s="63" t="s">
        <v>65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9"/>
      <c r="O33" s="29"/>
      <c r="P33" s="29"/>
      <c r="Q33" s="31"/>
      <c r="R33" s="31"/>
      <c r="S33" s="85"/>
      <c r="T33" s="31"/>
      <c r="U33" s="31"/>
      <c r="V33" s="72"/>
      <c r="W33" s="30"/>
      <c r="X33" s="18"/>
    </row>
    <row r="34" spans="1:24" s="18" customFormat="1" ht="15">
      <c r="A34" s="54" t="s">
        <v>17</v>
      </c>
      <c r="B34" s="2" t="s">
        <v>60</v>
      </c>
      <c r="C34" s="13" t="e">
        <f>C6/C4</f>
        <v>#DIV/0!</v>
      </c>
      <c r="D34" s="13" t="e">
        <f>D6/D4</f>
        <v>#DIV/0!</v>
      </c>
      <c r="E34" s="13" t="e">
        <f aca="true" t="shared" si="13" ref="E34:V34">E6/E4</f>
        <v>#DIV/0!</v>
      </c>
      <c r="F34" s="13" t="e">
        <f t="shared" si="13"/>
        <v>#DIV/0!</v>
      </c>
      <c r="G34" s="13" t="e">
        <f t="shared" si="13"/>
        <v>#DIV/0!</v>
      </c>
      <c r="H34" s="13" t="e">
        <f t="shared" si="13"/>
        <v>#DIV/0!</v>
      </c>
      <c r="I34" s="13">
        <f t="shared" si="13"/>
        <v>17.460960432077023</v>
      </c>
      <c r="J34" s="13">
        <f t="shared" si="13"/>
        <v>16.118225695242472</v>
      </c>
      <c r="K34" s="13">
        <f t="shared" si="13"/>
        <v>21.73374901454884</v>
      </c>
      <c r="L34" s="13">
        <f t="shared" si="13"/>
        <v>17.63770458678521</v>
      </c>
      <c r="M34" s="13" t="e">
        <f t="shared" si="13"/>
        <v>#DIV/0!</v>
      </c>
      <c r="N34" s="13" t="e">
        <f t="shared" si="13"/>
        <v>#DIV/0!</v>
      </c>
      <c r="O34" s="13">
        <f>O6/O4</f>
        <v>20.388968619154003</v>
      </c>
      <c r="P34" s="13">
        <f>P6/P4</f>
        <v>31.01256008683517</v>
      </c>
      <c r="Q34" s="13">
        <f>Q6/Q4</f>
        <v>15.625225004090984</v>
      </c>
      <c r="R34" s="13">
        <v>14.355407746038958</v>
      </c>
      <c r="S34" s="13">
        <v>14.552040845431986</v>
      </c>
      <c r="T34" s="13">
        <f t="shared" si="13"/>
        <v>15.829670918640797</v>
      </c>
      <c r="U34" s="13">
        <f t="shared" si="13"/>
        <v>16.190658358530595</v>
      </c>
      <c r="V34" s="13">
        <f t="shared" si="13"/>
        <v>15.962911228956365</v>
      </c>
      <c r="W34" s="55" t="s">
        <v>36</v>
      </c>
      <c r="X34" s="19"/>
    </row>
    <row r="35" spans="1:24" s="18" customFormat="1" ht="16.5">
      <c r="A35" s="54" t="s">
        <v>19</v>
      </c>
      <c r="B35" s="1" t="s">
        <v>61</v>
      </c>
      <c r="C35" s="14" t="e">
        <f>C11/C4</f>
        <v>#DIV/0!</v>
      </c>
      <c r="D35" s="14" t="e">
        <f aca="true" t="shared" si="14" ref="D35:V35">D11/D4</f>
        <v>#DIV/0!</v>
      </c>
      <c r="E35" s="14" t="e">
        <f t="shared" si="14"/>
        <v>#DIV/0!</v>
      </c>
      <c r="F35" s="14" t="e">
        <f t="shared" si="14"/>
        <v>#DIV/0!</v>
      </c>
      <c r="G35" s="14" t="e">
        <f t="shared" si="14"/>
        <v>#DIV/0!</v>
      </c>
      <c r="H35" s="14" t="e">
        <f t="shared" si="14"/>
        <v>#DIV/0!</v>
      </c>
      <c r="I35" s="14">
        <f t="shared" si="14"/>
        <v>0.4571445344604908</v>
      </c>
      <c r="J35" s="14">
        <f t="shared" si="14"/>
        <v>0.24923006205470008</v>
      </c>
      <c r="K35" s="14">
        <f t="shared" si="14"/>
        <v>0.005733534007023579</v>
      </c>
      <c r="L35" s="14">
        <f t="shared" si="14"/>
        <v>0.04128780224961272</v>
      </c>
      <c r="M35" s="14" t="e">
        <f t="shared" si="14"/>
        <v>#DIV/0!</v>
      </c>
      <c r="N35" s="14" t="e">
        <f t="shared" si="14"/>
        <v>#DIV/0!</v>
      </c>
      <c r="O35" s="14">
        <f>O11/O4</f>
        <v>0.25626951131101217</v>
      </c>
      <c r="P35" s="14">
        <f>P11/P4</f>
        <v>0.4824176013507693</v>
      </c>
      <c r="Q35" s="14">
        <f>Q11/Q4</f>
        <v>0.2759941089837997</v>
      </c>
      <c r="R35" s="14">
        <v>0.2010335623828724</v>
      </c>
      <c r="S35" s="14">
        <v>0.24237713568555863</v>
      </c>
      <c r="T35" s="14">
        <f t="shared" si="14"/>
        <v>0.306529679988786</v>
      </c>
      <c r="U35" s="14">
        <f t="shared" si="14"/>
        <v>0.3919413307495698</v>
      </c>
      <c r="V35" s="14">
        <f t="shared" si="14"/>
        <v>0.4136855697312749</v>
      </c>
      <c r="W35" s="53" t="s">
        <v>38</v>
      </c>
      <c r="X35" s="19"/>
    </row>
    <row r="36" spans="1:23" s="18" customFormat="1" ht="16.5">
      <c r="A36" s="54" t="s">
        <v>21</v>
      </c>
      <c r="B36" s="1" t="s">
        <v>62</v>
      </c>
      <c r="C36" s="14" t="e">
        <f>C13/C4</f>
        <v>#DIV/0!</v>
      </c>
      <c r="D36" s="14" t="e">
        <f aca="true" t="shared" si="15" ref="D36:N36">D13/D4</f>
        <v>#DIV/0!</v>
      </c>
      <c r="E36" s="14" t="e">
        <f t="shared" si="15"/>
        <v>#DIV/0!</v>
      </c>
      <c r="F36" s="14" t="e">
        <f t="shared" si="15"/>
        <v>#DIV/0!</v>
      </c>
      <c r="G36" s="14" t="e">
        <f t="shared" si="15"/>
        <v>#DIV/0!</v>
      </c>
      <c r="H36" s="14" t="e">
        <f t="shared" si="15"/>
        <v>#DIV/0!</v>
      </c>
      <c r="I36" s="14">
        <f t="shared" si="15"/>
        <v>0.01033227662322414</v>
      </c>
      <c r="J36" s="14">
        <f t="shared" si="15"/>
        <v>0.008044127786715698</v>
      </c>
      <c r="K36" s="14">
        <f t="shared" si="15"/>
        <v>0</v>
      </c>
      <c r="L36" s="14">
        <f t="shared" si="15"/>
        <v>0.00404122044857547</v>
      </c>
      <c r="M36" s="14" t="e">
        <f t="shared" si="15"/>
        <v>#DIV/0!</v>
      </c>
      <c r="N36" s="14" t="e">
        <f t="shared" si="15"/>
        <v>#DIV/0!</v>
      </c>
      <c r="O36" s="14">
        <f>O13/O4</f>
        <v>0.010726597523265621</v>
      </c>
      <c r="P36" s="14">
        <f>P13/P4</f>
        <v>0.022397960062714287</v>
      </c>
      <c r="Q36" s="14">
        <f>Q13/Q4</f>
        <v>0.012766077565046637</v>
      </c>
      <c r="R36" s="14">
        <v>0.02209757794309728</v>
      </c>
      <c r="S36" s="14">
        <v>0.028103696625688127</v>
      </c>
      <c r="T36" s="14">
        <f>T13/T4</f>
        <v>0.01562538651186952</v>
      </c>
      <c r="U36" s="14">
        <f>U13/U4</f>
        <v>0.028198660229531748</v>
      </c>
      <c r="V36" s="14">
        <f>V13/V4</f>
        <v>0.05140615736943405</v>
      </c>
      <c r="W36" s="53" t="s">
        <v>41</v>
      </c>
    </row>
    <row r="37" spans="1:23" s="18" customFormat="1" ht="16.5">
      <c r="A37" s="54" t="s">
        <v>32</v>
      </c>
      <c r="B37" s="45" t="s">
        <v>63</v>
      </c>
      <c r="C37" s="14" t="e">
        <f>C15/C4</f>
        <v>#DIV/0!</v>
      </c>
      <c r="D37" s="14" t="e">
        <f aca="true" t="shared" si="16" ref="D37:N37">D15/D4</f>
        <v>#DIV/0!</v>
      </c>
      <c r="E37" s="14" t="e">
        <f t="shared" si="16"/>
        <v>#DIV/0!</v>
      </c>
      <c r="F37" s="14" t="e">
        <f t="shared" si="16"/>
        <v>#DIV/0!</v>
      </c>
      <c r="G37" s="14" t="e">
        <f t="shared" si="16"/>
        <v>#DIV/0!</v>
      </c>
      <c r="H37" s="14" t="e">
        <f t="shared" si="16"/>
        <v>#DIV/0!</v>
      </c>
      <c r="I37" s="14">
        <f t="shared" si="16"/>
        <v>17.56910837149231</v>
      </c>
      <c r="J37" s="14">
        <f t="shared" si="16"/>
        <v>16.202423580786025</v>
      </c>
      <c r="K37" s="14">
        <f t="shared" si="16"/>
        <v>21.73374901454884</v>
      </c>
      <c r="L37" s="14">
        <f t="shared" si="16"/>
        <v>17.68000404122045</v>
      </c>
      <c r="M37" s="14" t="e">
        <f t="shared" si="16"/>
        <v>#DIV/0!</v>
      </c>
      <c r="N37" s="14" t="e">
        <f t="shared" si="16"/>
        <v>#DIV/0!</v>
      </c>
      <c r="O37" s="14">
        <f>O15/O4</f>
        <v>20.065684874757725</v>
      </c>
      <c r="P37" s="14">
        <f>P15/P4</f>
        <v>31.270998087558795</v>
      </c>
      <c r="Q37" s="14">
        <f>Q15/Q4</f>
        <v>15.758847537964328</v>
      </c>
      <c r="R37" s="14">
        <v>14.586703094369359</v>
      </c>
      <c r="S37" s="14">
        <v>14.846202238013065</v>
      </c>
      <c r="T37" s="14">
        <f>T15/T4</f>
        <v>15.993221839260537</v>
      </c>
      <c r="U37" s="14">
        <f>U15/U4</f>
        <v>16.33043216785553</v>
      </c>
      <c r="V37" s="14">
        <f>V15/V4</f>
        <v>16.500979478142234</v>
      </c>
      <c r="W37" s="55" t="s">
        <v>42</v>
      </c>
    </row>
    <row r="38" spans="1:23" ht="16.5">
      <c r="A38" s="138" t="s">
        <v>84</v>
      </c>
      <c r="B38" s="230" t="s">
        <v>99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48">
        <f>O18/O4</f>
        <v>0.5178357425024782</v>
      </c>
      <c r="P38" s="148">
        <f aca="true" t="shared" si="17" ref="P38:V38">P18/P4</f>
        <v>0.6891680019296704</v>
      </c>
      <c r="Q38" s="148">
        <f t="shared" si="17"/>
        <v>0.37637047946326296</v>
      </c>
      <c r="R38" s="148">
        <f t="shared" si="17"/>
        <v>0.31234028053836105</v>
      </c>
      <c r="S38" s="148">
        <f t="shared" si="17"/>
        <v>0.2994951367694458</v>
      </c>
      <c r="T38" s="148">
        <f t="shared" si="17"/>
        <v>0.7478747000667892</v>
      </c>
      <c r="U38" s="148">
        <f t="shared" si="17"/>
        <v>0.7141544578272999</v>
      </c>
      <c r="V38" s="148">
        <f t="shared" si="17"/>
        <v>0</v>
      </c>
      <c r="W38" s="22"/>
    </row>
    <row r="39" spans="1:23" ht="16.5">
      <c r="A39" s="138" t="s">
        <v>96</v>
      </c>
      <c r="B39" s="230" t="s">
        <v>99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142"/>
      <c r="O39" s="229">
        <f>O19/O4</f>
        <v>0.20713429700099129</v>
      </c>
      <c r="P39" s="229">
        <f aca="true" t="shared" si="18" ref="P39:V39">P19/P4</f>
        <v>0.2584380007236264</v>
      </c>
      <c r="Q39" s="229">
        <f t="shared" si="18"/>
        <v>0.13909343806251023</v>
      </c>
      <c r="R39" s="229">
        <f t="shared" si="18"/>
        <v>0.10647964109262309</v>
      </c>
      <c r="S39" s="229">
        <f t="shared" si="18"/>
        <v>0.09270087566673323</v>
      </c>
      <c r="T39" s="229">
        <f t="shared" si="18"/>
        <v>0.3878723913025553</v>
      </c>
      <c r="U39" s="229">
        <f t="shared" si="18"/>
        <v>0.33410734869113445</v>
      </c>
      <c r="V39" s="229">
        <f t="shared" si="18"/>
        <v>0</v>
      </c>
      <c r="W39" s="30"/>
    </row>
    <row r="40" spans="1:23" ht="16.5">
      <c r="A40" s="138" t="s">
        <v>95</v>
      </c>
      <c r="B40" s="230" t="s">
        <v>99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48">
        <f>O20/O4</f>
        <v>0.008877184157185341</v>
      </c>
      <c r="P40" s="148">
        <f aca="true" t="shared" si="19" ref="P40:V40">P20/P4</f>
        <v>0.03445840009648352</v>
      </c>
      <c r="Q40" s="148">
        <f t="shared" si="19"/>
        <v>0.031909671084928815</v>
      </c>
      <c r="R40" s="148">
        <f t="shared" si="19"/>
        <v>0.04287580214662957</v>
      </c>
      <c r="S40" s="148">
        <f t="shared" si="19"/>
        <v>0.049131464103368605</v>
      </c>
      <c r="T40" s="148">
        <f t="shared" si="19"/>
        <v>0.05021562208827725</v>
      </c>
      <c r="U40" s="148">
        <f t="shared" si="19"/>
        <v>0.05638061509162894</v>
      </c>
      <c r="V40" s="148">
        <f t="shared" si="19"/>
        <v>0</v>
      </c>
      <c r="W40" s="22"/>
    </row>
    <row r="41" spans="1:23" ht="16.5">
      <c r="A41" s="138" t="s">
        <v>94</v>
      </c>
      <c r="B41" s="230" t="s">
        <v>99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148">
        <f>O21/O4</f>
        <v>0.012723963958632322</v>
      </c>
      <c r="P41" s="148">
        <f aca="true" t="shared" si="20" ref="P41:V41">P21/P4</f>
        <v>0.01722920004824176</v>
      </c>
      <c r="Q41" s="148">
        <f t="shared" si="20"/>
        <v>0.005236458844706267</v>
      </c>
      <c r="R41" s="148">
        <f t="shared" si="20"/>
        <v>0.009050769492872963</v>
      </c>
      <c r="S41" s="148">
        <f t="shared" si="20"/>
        <v>0.008742405659031918</v>
      </c>
      <c r="T41" s="148">
        <f t="shared" si="20"/>
        <v>0.009235056935775126</v>
      </c>
      <c r="U41" s="148">
        <f t="shared" si="20"/>
        <v>0.01319724027329981</v>
      </c>
      <c r="V41" s="148">
        <f t="shared" si="20"/>
        <v>0</v>
      </c>
      <c r="W41" s="22"/>
    </row>
  </sheetData>
  <sheetProtection/>
  <mergeCells count="2">
    <mergeCell ref="A1:Q1"/>
    <mergeCell ref="B3:B4"/>
  </mergeCells>
  <printOptions/>
  <pageMargins left="0.17" right="0.1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zoomScale="127" zoomScaleNormal="127" zoomScalePageLayoutView="0" workbookViewId="0" topLeftCell="I16">
      <selection activeCell="P18" sqref="P18:P21"/>
    </sheetView>
  </sheetViews>
  <sheetFormatPr defaultColWidth="9.140625" defaultRowHeight="15"/>
  <cols>
    <col min="1" max="1" width="17.421875" style="33" customWidth="1"/>
    <col min="2" max="2" width="7.7109375" style="34" customWidth="1"/>
    <col min="3" max="5" width="7.28125" style="35" bestFit="1" customWidth="1"/>
    <col min="6" max="9" width="8.00390625" style="35" bestFit="1" customWidth="1"/>
    <col min="10" max="10" width="9.57421875" style="35" customWidth="1"/>
    <col min="11" max="11" width="9.140625" style="35" customWidth="1"/>
    <col min="12" max="12" width="8.7109375" style="35" customWidth="1"/>
    <col min="13" max="13" width="7.8515625" style="35" customWidth="1"/>
    <col min="14" max="14" width="7.57421875" style="35" customWidth="1"/>
    <col min="15" max="15" width="10.28125" style="35" bestFit="1" customWidth="1"/>
    <col min="16" max="20" width="11.00390625" style="66" customWidth="1"/>
    <col min="21" max="21" width="10.57421875" style="66" customWidth="1"/>
    <col min="22" max="22" width="19.28125" style="36" customWidth="1"/>
    <col min="23" max="23" width="10.00390625" style="32" bestFit="1" customWidth="1"/>
    <col min="24" max="16384" width="9.140625" style="32" customWidth="1"/>
  </cols>
  <sheetData>
    <row r="1" spans="1:23" s="18" customFormat="1" ht="18">
      <c r="A1" s="236" t="s">
        <v>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51"/>
      <c r="R1" s="51"/>
      <c r="S1" s="51"/>
      <c r="T1" s="51"/>
      <c r="U1" s="68"/>
      <c r="V1" s="52"/>
      <c r="W1" s="19"/>
    </row>
    <row r="2" spans="1:22" s="18" customFormat="1" ht="24.75" customHeight="1">
      <c r="A2" s="61" t="s">
        <v>70</v>
      </c>
      <c r="B2" s="1" t="s">
        <v>0</v>
      </c>
      <c r="C2" s="38" t="s">
        <v>1</v>
      </c>
      <c r="D2" s="38" t="s">
        <v>2</v>
      </c>
      <c r="E2" s="38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62" t="s">
        <v>71</v>
      </c>
      <c r="P2" s="62" t="s">
        <v>73</v>
      </c>
      <c r="Q2" s="20" t="s">
        <v>72</v>
      </c>
      <c r="R2" s="20" t="s">
        <v>67</v>
      </c>
      <c r="S2" s="20" t="s">
        <v>58</v>
      </c>
      <c r="T2" s="20" t="s">
        <v>55</v>
      </c>
      <c r="U2" s="20" t="s">
        <v>44</v>
      </c>
      <c r="V2" s="53"/>
    </row>
    <row r="3" spans="1:23" s="18" customFormat="1" ht="16.5">
      <c r="A3" s="54" t="s">
        <v>13</v>
      </c>
      <c r="B3" s="238" t="s">
        <v>14</v>
      </c>
      <c r="C3" s="3">
        <v>0</v>
      </c>
      <c r="D3" s="3">
        <v>0</v>
      </c>
      <c r="E3" s="3">
        <v>0</v>
      </c>
      <c r="F3" s="3">
        <v>1157</v>
      </c>
      <c r="G3" s="3">
        <v>7645</v>
      </c>
      <c r="H3" s="3">
        <v>8144</v>
      </c>
      <c r="I3" s="4">
        <v>8420</v>
      </c>
      <c r="J3" s="3">
        <v>8437</v>
      </c>
      <c r="K3" s="3">
        <v>7799</v>
      </c>
      <c r="L3" s="3">
        <v>1191</v>
      </c>
      <c r="M3" s="3">
        <v>0</v>
      </c>
      <c r="N3" s="3">
        <v>0</v>
      </c>
      <c r="O3" s="40">
        <f>SUM(A3:L3)</f>
        <v>42793</v>
      </c>
      <c r="P3" s="21">
        <v>48210</v>
      </c>
      <c r="Q3" s="21">
        <v>49240</v>
      </c>
      <c r="R3" s="80">
        <v>50514</v>
      </c>
      <c r="S3" s="21">
        <v>42667</v>
      </c>
      <c r="T3" s="21">
        <f>'ATLANTICA MIKRI POLI CRETE 2015'!O3</f>
        <v>42226</v>
      </c>
      <c r="U3" s="69">
        <v>43962</v>
      </c>
      <c r="V3" s="53"/>
      <c r="W3" s="19"/>
    </row>
    <row r="4" spans="1:23" s="18" customFormat="1" ht="16.5">
      <c r="A4" s="54" t="s">
        <v>15</v>
      </c>
      <c r="B4" s="238"/>
      <c r="C4" s="3">
        <v>0</v>
      </c>
      <c r="D4" s="3">
        <v>0</v>
      </c>
      <c r="E4" s="3">
        <v>0</v>
      </c>
      <c r="F4" s="3">
        <v>2986</v>
      </c>
      <c r="G4" s="3">
        <v>18700</v>
      </c>
      <c r="H4" s="3">
        <v>23363</v>
      </c>
      <c r="I4" s="4">
        <v>27907</v>
      </c>
      <c r="J4" s="3">
        <v>27605</v>
      </c>
      <c r="K4" s="3">
        <v>18994</v>
      </c>
      <c r="L4" s="3">
        <v>2665</v>
      </c>
      <c r="M4" s="3">
        <v>0</v>
      </c>
      <c r="N4" s="3">
        <v>0</v>
      </c>
      <c r="O4" s="40">
        <f>SUM(A4:L4)</f>
        <v>122220</v>
      </c>
      <c r="P4" s="21">
        <v>137955</v>
      </c>
      <c r="Q4" s="21">
        <v>140872</v>
      </c>
      <c r="R4" s="80">
        <v>140236</v>
      </c>
      <c r="S4" s="21">
        <v>121277</v>
      </c>
      <c r="T4" s="21">
        <f>'ATLANTICA MIKRI POLI CRETE 2015'!O4</f>
        <v>119722</v>
      </c>
      <c r="U4" s="69">
        <v>123137</v>
      </c>
      <c r="V4" s="53"/>
      <c r="W4" s="19"/>
    </row>
    <row r="5" spans="1:23" s="18" customFormat="1" ht="16.5">
      <c r="A5" s="63" t="s">
        <v>16</v>
      </c>
      <c r="B5" s="41"/>
      <c r="C5" s="3"/>
      <c r="D5" s="3"/>
      <c r="E5" s="3"/>
      <c r="F5" s="42"/>
      <c r="G5" s="42"/>
      <c r="H5" s="42"/>
      <c r="I5" s="42"/>
      <c r="J5" s="42"/>
      <c r="K5" s="42"/>
      <c r="L5" s="42"/>
      <c r="M5" s="42"/>
      <c r="N5" s="43"/>
      <c r="O5" s="44"/>
      <c r="P5" s="65"/>
      <c r="Q5" s="65"/>
      <c r="R5" s="81"/>
      <c r="S5" s="65"/>
      <c r="T5" s="65"/>
      <c r="U5" s="65"/>
      <c r="V5" s="53"/>
      <c r="W5" s="19"/>
    </row>
    <row r="6" spans="1:23" s="25" customFormat="1" ht="15">
      <c r="A6" s="54" t="s">
        <v>17</v>
      </c>
      <c r="B6" s="45" t="s">
        <v>18</v>
      </c>
      <c r="C6" s="5">
        <v>13898</v>
      </c>
      <c r="D6" s="5">
        <v>13091</v>
      </c>
      <c r="E6" s="5">
        <v>16596</v>
      </c>
      <c r="F6" s="5">
        <v>97911</v>
      </c>
      <c r="G6" s="5">
        <v>251175</v>
      </c>
      <c r="H6" s="5">
        <v>317803</v>
      </c>
      <c r="I6" s="5">
        <v>351737</v>
      </c>
      <c r="J6" s="6">
        <v>389069</v>
      </c>
      <c r="K6" s="6">
        <v>313836</v>
      </c>
      <c r="L6" s="6">
        <v>116278</v>
      </c>
      <c r="M6" s="6">
        <v>14967</v>
      </c>
      <c r="N6" s="6">
        <v>13354</v>
      </c>
      <c r="O6" s="6">
        <f>SUM(A6:N6)</f>
        <v>1909715</v>
      </c>
      <c r="P6" s="23">
        <v>1900000</v>
      </c>
      <c r="Q6" s="23">
        <v>2022275</v>
      </c>
      <c r="R6" s="86">
        <v>2040720</v>
      </c>
      <c r="S6" s="23">
        <v>1919775</v>
      </c>
      <c r="T6" s="23">
        <f>'ATLANTICA MIKRI POLI CRETE 2015'!O6</f>
        <v>1938378</v>
      </c>
      <c r="U6" s="23">
        <v>1965625</v>
      </c>
      <c r="V6" s="53" t="s">
        <v>36</v>
      </c>
      <c r="W6" s="24">
        <f>Q6/Q3</f>
        <v>41.06976035743298</v>
      </c>
    </row>
    <row r="7" spans="1:23" s="25" customFormat="1" ht="15">
      <c r="A7" s="54" t="s">
        <v>17</v>
      </c>
      <c r="B7" s="45" t="s">
        <v>30</v>
      </c>
      <c r="C7" s="7">
        <v>1428</v>
      </c>
      <c r="D7" s="7">
        <v>1526</v>
      </c>
      <c r="E7" s="7">
        <v>1693.7</v>
      </c>
      <c r="F7" s="7">
        <v>10189.31</v>
      </c>
      <c r="G7" s="7">
        <v>24889</v>
      </c>
      <c r="H7" s="7">
        <v>31507</v>
      </c>
      <c r="I7" s="7">
        <v>34693</v>
      </c>
      <c r="J7" s="8">
        <v>38544</v>
      </c>
      <c r="K7" s="8">
        <v>31665</v>
      </c>
      <c r="L7" s="8">
        <v>12282</v>
      </c>
      <c r="M7" s="8">
        <v>1889</v>
      </c>
      <c r="N7" s="8">
        <v>1632</v>
      </c>
      <c r="O7" s="6">
        <f>SUM(A7:N7)</f>
        <v>191938.01</v>
      </c>
      <c r="P7" s="23">
        <v>200000</v>
      </c>
      <c r="Q7" s="23">
        <v>214290</v>
      </c>
      <c r="R7" s="86">
        <v>224822</v>
      </c>
      <c r="S7" s="23">
        <v>207617</v>
      </c>
      <c r="T7" s="23">
        <f>'ATLANTICA MIKRI POLI CRETE 2015'!O7</f>
        <v>243776</v>
      </c>
      <c r="U7" s="23">
        <v>252347</v>
      </c>
      <c r="V7" s="53" t="s">
        <v>36</v>
      </c>
      <c r="W7" s="24">
        <f>Q6/Q4</f>
        <v>14.355407746038958</v>
      </c>
    </row>
    <row r="8" spans="1:23" s="25" customFormat="1" ht="15">
      <c r="A8" s="64" t="s">
        <v>31</v>
      </c>
      <c r="B8" s="45" t="s">
        <v>30</v>
      </c>
      <c r="C8" s="7">
        <v>2500</v>
      </c>
      <c r="D8" s="7">
        <v>2500</v>
      </c>
      <c r="E8" s="7">
        <v>2500</v>
      </c>
      <c r="F8" s="7">
        <v>4644</v>
      </c>
      <c r="G8" s="7">
        <v>33480</v>
      </c>
      <c r="H8" s="7">
        <v>35100</v>
      </c>
      <c r="I8" s="7">
        <v>36310</v>
      </c>
      <c r="J8" s="8">
        <v>36310</v>
      </c>
      <c r="K8" s="8">
        <v>34992</v>
      </c>
      <c r="L8" s="8">
        <v>27432</v>
      </c>
      <c r="M8" s="8">
        <v>2500</v>
      </c>
      <c r="N8" s="8">
        <v>2500</v>
      </c>
      <c r="O8" s="8">
        <f>SUM(C8:N8)</f>
        <v>220768</v>
      </c>
      <c r="P8" s="26">
        <v>215320</v>
      </c>
      <c r="Q8" s="26">
        <v>219843</v>
      </c>
      <c r="R8" s="26">
        <v>224822</v>
      </c>
      <c r="S8" s="26">
        <v>207618</v>
      </c>
      <c r="T8" s="26">
        <v>243776</v>
      </c>
      <c r="U8" s="26">
        <v>252347</v>
      </c>
      <c r="V8" s="53" t="s">
        <v>36</v>
      </c>
      <c r="W8" s="24"/>
    </row>
    <row r="9" spans="1:23" s="25" customFormat="1" ht="15">
      <c r="A9" s="54" t="s">
        <v>48</v>
      </c>
      <c r="B9" s="46" t="s">
        <v>20</v>
      </c>
      <c r="C9" s="9">
        <v>0</v>
      </c>
      <c r="D9" s="9">
        <v>1</v>
      </c>
      <c r="E9" s="9">
        <v>7</v>
      </c>
      <c r="F9" s="9">
        <v>13</v>
      </c>
      <c r="G9" s="9">
        <v>3490</v>
      </c>
      <c r="H9" s="9">
        <v>2035</v>
      </c>
      <c r="I9" s="9">
        <v>6527</v>
      </c>
      <c r="J9" s="9">
        <v>8085</v>
      </c>
      <c r="K9" s="9">
        <v>8048</v>
      </c>
      <c r="L9" s="9">
        <v>2137</v>
      </c>
      <c r="M9" s="27">
        <v>0</v>
      </c>
      <c r="N9" s="27">
        <v>0</v>
      </c>
      <c r="O9" s="21">
        <f>SUM(A9:L9)</f>
        <v>30343</v>
      </c>
      <c r="P9" s="21">
        <v>30000</v>
      </c>
      <c r="Q9" s="21">
        <v>26713</v>
      </c>
      <c r="R9" s="21">
        <v>31913</v>
      </c>
      <c r="S9" s="21">
        <v>34637</v>
      </c>
      <c r="T9" s="21">
        <f>'ATLANTICA MIKRI POLI CRETE 2015'!O9</f>
        <v>43354</v>
      </c>
      <c r="U9" s="69">
        <v>49194</v>
      </c>
      <c r="V9" s="55" t="s">
        <v>37</v>
      </c>
      <c r="W9" s="24">
        <f>Q11/Q3</f>
        <v>0.5751421608448416</v>
      </c>
    </row>
    <row r="10" spans="1:23" s="25" customFormat="1" ht="15">
      <c r="A10" s="54" t="s">
        <v>49</v>
      </c>
      <c r="B10" s="46" t="s">
        <v>20</v>
      </c>
      <c r="C10" s="9">
        <v>291</v>
      </c>
      <c r="D10" s="9">
        <v>222</v>
      </c>
      <c r="E10" s="9">
        <v>110</v>
      </c>
      <c r="F10" s="9">
        <v>385</v>
      </c>
      <c r="G10" s="9">
        <v>195</v>
      </c>
      <c r="H10" s="9">
        <v>278</v>
      </c>
      <c r="I10" s="9">
        <v>969</v>
      </c>
      <c r="J10" s="9">
        <v>508</v>
      </c>
      <c r="K10" s="9">
        <v>301</v>
      </c>
      <c r="L10" s="9">
        <v>36</v>
      </c>
      <c r="M10" s="27">
        <v>94</v>
      </c>
      <c r="N10" s="27">
        <v>0</v>
      </c>
      <c r="O10" s="21">
        <f>SUM(C10:N10)</f>
        <v>3389</v>
      </c>
      <c r="P10" s="21">
        <v>1400</v>
      </c>
      <c r="Q10" s="21">
        <v>1607</v>
      </c>
      <c r="R10" s="21">
        <v>2077</v>
      </c>
      <c r="S10" s="21">
        <v>2538</v>
      </c>
      <c r="T10" s="21">
        <v>3570</v>
      </c>
      <c r="U10" s="69">
        <v>1747</v>
      </c>
      <c r="V10" s="55" t="s">
        <v>38</v>
      </c>
      <c r="W10" s="24">
        <f>Q11/Q4</f>
        <v>0.2010335623828724</v>
      </c>
    </row>
    <row r="11" spans="1:23" s="25" customFormat="1" ht="15">
      <c r="A11" s="54" t="s">
        <v>50</v>
      </c>
      <c r="B11" s="47" t="s">
        <v>20</v>
      </c>
      <c r="C11" s="10">
        <f>SUM(C9:C10)</f>
        <v>291</v>
      </c>
      <c r="D11" s="10">
        <f aca="true" t="shared" si="0" ref="D11:N11">SUM(D9:D10)</f>
        <v>223</v>
      </c>
      <c r="E11" s="10">
        <f t="shared" si="0"/>
        <v>117</v>
      </c>
      <c r="F11" s="10">
        <f t="shared" si="0"/>
        <v>398</v>
      </c>
      <c r="G11" s="10">
        <f t="shared" si="0"/>
        <v>3685</v>
      </c>
      <c r="H11" s="10">
        <f t="shared" si="0"/>
        <v>2313</v>
      </c>
      <c r="I11" s="10">
        <f t="shared" si="0"/>
        <v>7496</v>
      </c>
      <c r="J11" s="10">
        <f t="shared" si="0"/>
        <v>8593</v>
      </c>
      <c r="K11" s="10">
        <f t="shared" si="0"/>
        <v>8349</v>
      </c>
      <c r="L11" s="10">
        <f t="shared" si="0"/>
        <v>2173</v>
      </c>
      <c r="M11" s="10">
        <f t="shared" si="0"/>
        <v>94</v>
      </c>
      <c r="N11" s="10">
        <f t="shared" si="0"/>
        <v>0</v>
      </c>
      <c r="O11" s="48">
        <f>SUM(C11:N11)</f>
        <v>33732</v>
      </c>
      <c r="P11" s="21">
        <f>SUM(P9:P10)</f>
        <v>31400</v>
      </c>
      <c r="Q11" s="21">
        <v>28320</v>
      </c>
      <c r="R11" s="21">
        <v>33990</v>
      </c>
      <c r="S11" s="21">
        <v>37175</v>
      </c>
      <c r="T11" s="21">
        <v>46924</v>
      </c>
      <c r="U11" s="69">
        <v>50940</v>
      </c>
      <c r="V11" s="56" t="s">
        <v>39</v>
      </c>
      <c r="W11" s="24"/>
    </row>
    <row r="12" spans="1:23" s="25" customFormat="1" ht="15">
      <c r="A12" s="64" t="s">
        <v>34</v>
      </c>
      <c r="B12" s="46" t="s">
        <v>30</v>
      </c>
      <c r="C12" s="11">
        <v>500</v>
      </c>
      <c r="D12" s="11">
        <v>500</v>
      </c>
      <c r="E12" s="11">
        <v>500</v>
      </c>
      <c r="F12" s="11">
        <v>1000</v>
      </c>
      <c r="G12" s="11">
        <v>2810</v>
      </c>
      <c r="H12" s="11">
        <v>3094</v>
      </c>
      <c r="I12" s="11">
        <v>3883</v>
      </c>
      <c r="J12" s="11">
        <v>3836</v>
      </c>
      <c r="K12" s="11">
        <v>2756</v>
      </c>
      <c r="L12" s="11">
        <v>2578</v>
      </c>
      <c r="M12" s="11">
        <v>500</v>
      </c>
      <c r="N12" s="11">
        <v>500</v>
      </c>
      <c r="O12" s="11">
        <f>SUM(C12:N12)</f>
        <v>22457</v>
      </c>
      <c r="P12" s="26">
        <v>22932</v>
      </c>
      <c r="Q12" s="26">
        <v>20634</v>
      </c>
      <c r="R12" s="26">
        <v>22932</v>
      </c>
      <c r="S12" s="26">
        <v>22326</v>
      </c>
      <c r="T12" s="26">
        <v>23592</v>
      </c>
      <c r="U12" s="26">
        <v>25000</v>
      </c>
      <c r="V12" s="55" t="s">
        <v>40</v>
      </c>
      <c r="W12" s="24"/>
    </row>
    <row r="13" spans="1:23" s="25" customFormat="1" ht="15">
      <c r="A13" s="54" t="s">
        <v>21</v>
      </c>
      <c r="B13" s="46" t="s">
        <v>22</v>
      </c>
      <c r="C13" s="9">
        <v>14</v>
      </c>
      <c r="D13" s="9">
        <v>85</v>
      </c>
      <c r="E13" s="9">
        <v>140</v>
      </c>
      <c r="F13" s="9">
        <f>150+167.27</f>
        <v>317.27</v>
      </c>
      <c r="G13" s="9">
        <f>109+100</f>
        <v>209</v>
      </c>
      <c r="H13" s="9">
        <v>160</v>
      </c>
      <c r="I13" s="9">
        <v>190</v>
      </c>
      <c r="J13" s="9">
        <v>85</v>
      </c>
      <c r="K13" s="9">
        <v>283</v>
      </c>
      <c r="L13" s="9">
        <v>77</v>
      </c>
      <c r="M13" s="9">
        <v>0</v>
      </c>
      <c r="N13" s="9">
        <v>0</v>
      </c>
      <c r="O13" s="21">
        <f>SUM(A13:L13)</f>
        <v>1560.27</v>
      </c>
      <c r="P13" s="21">
        <v>2500</v>
      </c>
      <c r="Q13" s="21">
        <v>3112.9300000000003</v>
      </c>
      <c r="R13" s="21">
        <v>3941.15</v>
      </c>
      <c r="S13" s="21">
        <v>1895</v>
      </c>
      <c r="T13" s="21">
        <v>3376</v>
      </c>
      <c r="U13" s="69">
        <v>6330</v>
      </c>
      <c r="V13" s="55" t="s">
        <v>41</v>
      </c>
      <c r="W13" s="24"/>
    </row>
    <row r="14" spans="1:23" s="25" customFormat="1" ht="15">
      <c r="A14" s="54" t="s">
        <v>21</v>
      </c>
      <c r="B14" s="46" t="s">
        <v>18</v>
      </c>
      <c r="C14" s="9">
        <f>C13*10.467</f>
        <v>146.538</v>
      </c>
      <c r="D14" s="9">
        <f>D13*10.467</f>
        <v>889.695</v>
      </c>
      <c r="E14" s="9">
        <f>E13*10.467</f>
        <v>1465.38</v>
      </c>
      <c r="F14" s="9">
        <f>F13*10.467</f>
        <v>3320.86509</v>
      </c>
      <c r="G14" s="9">
        <f aca="true" t="shared" si="1" ref="G14:N14">G13*10.467</f>
        <v>2187.603</v>
      </c>
      <c r="H14" s="9">
        <f t="shared" si="1"/>
        <v>1674.72</v>
      </c>
      <c r="I14" s="9">
        <f t="shared" si="1"/>
        <v>1988.73</v>
      </c>
      <c r="J14" s="9">
        <f t="shared" si="1"/>
        <v>889.695</v>
      </c>
      <c r="K14" s="9">
        <f t="shared" si="1"/>
        <v>2962.161</v>
      </c>
      <c r="L14" s="9">
        <f t="shared" si="1"/>
        <v>805.9590000000001</v>
      </c>
      <c r="M14" s="9">
        <f t="shared" si="1"/>
        <v>0</v>
      </c>
      <c r="N14" s="9">
        <f t="shared" si="1"/>
        <v>0</v>
      </c>
      <c r="O14" s="21">
        <f>SUM(A14:L14)</f>
        <v>16331.346090000001</v>
      </c>
      <c r="P14" s="21">
        <f>P13*10.467</f>
        <v>26167.5</v>
      </c>
      <c r="Q14" s="21">
        <v>32583.038310000004</v>
      </c>
      <c r="R14" s="21">
        <v>41252.01705</v>
      </c>
      <c r="S14" s="21">
        <v>19834.965000000004</v>
      </c>
      <c r="T14" s="21">
        <v>35337</v>
      </c>
      <c r="U14" s="69">
        <f>U13*10.467</f>
        <v>66256.11</v>
      </c>
      <c r="V14" s="55"/>
      <c r="W14" s="24"/>
    </row>
    <row r="15" spans="1:23" s="25" customFormat="1" ht="15">
      <c r="A15" s="54" t="s">
        <v>32</v>
      </c>
      <c r="B15" s="46" t="s">
        <v>18</v>
      </c>
      <c r="C15" s="9">
        <f>C6+C14</f>
        <v>14044.538</v>
      </c>
      <c r="D15" s="9">
        <f aca="true" t="shared" si="2" ref="D15:N15">D6+D14</f>
        <v>13980.695</v>
      </c>
      <c r="E15" s="9">
        <f t="shared" si="2"/>
        <v>18061.38</v>
      </c>
      <c r="F15" s="9">
        <f t="shared" si="2"/>
        <v>101231.86509</v>
      </c>
      <c r="G15" s="9">
        <f t="shared" si="2"/>
        <v>253362.603</v>
      </c>
      <c r="H15" s="9">
        <f t="shared" si="2"/>
        <v>319477.72</v>
      </c>
      <c r="I15" s="9">
        <f t="shared" si="2"/>
        <v>353725.73</v>
      </c>
      <c r="J15" s="9">
        <f t="shared" si="2"/>
        <v>389958.695</v>
      </c>
      <c r="K15" s="9">
        <f t="shared" si="2"/>
        <v>316798.161</v>
      </c>
      <c r="L15" s="9">
        <f t="shared" si="2"/>
        <v>117083.959</v>
      </c>
      <c r="M15" s="9">
        <f t="shared" si="2"/>
        <v>14967</v>
      </c>
      <c r="N15" s="9">
        <f t="shared" si="2"/>
        <v>13354</v>
      </c>
      <c r="O15" s="21">
        <f>SUM(C15:N15)</f>
        <v>1926046.3460900001</v>
      </c>
      <c r="P15" s="21">
        <f>P14+P6</f>
        <v>1926167.5</v>
      </c>
      <c r="Q15" s="21">
        <v>2054858.0383100002</v>
      </c>
      <c r="R15" s="21">
        <v>2081972.0170500001</v>
      </c>
      <c r="S15" s="21">
        <v>1939609.965</v>
      </c>
      <c r="T15" s="21">
        <v>1955112</v>
      </c>
      <c r="U15" s="69">
        <f>U14+U6</f>
        <v>2031881.11</v>
      </c>
      <c r="V15" s="55"/>
      <c r="W15" s="24"/>
    </row>
    <row r="16" spans="1:23" s="79" customFormat="1" ht="15">
      <c r="A16" s="73" t="s">
        <v>21</v>
      </c>
      <c r="B16" s="74" t="s">
        <v>30</v>
      </c>
      <c r="C16" s="75">
        <f>C13*1.18</f>
        <v>16.52</v>
      </c>
      <c r="D16" s="75">
        <f>D13*1.18</f>
        <v>100.3</v>
      </c>
      <c r="E16" s="75">
        <f>E13*1.18</f>
        <v>165.2</v>
      </c>
      <c r="F16" s="75">
        <f>F13*1.18</f>
        <v>374.37859999999995</v>
      </c>
      <c r="G16" s="75">
        <f>G13*1.18</f>
        <v>246.61999999999998</v>
      </c>
      <c r="H16" s="75">
        <f>H13*1.42</f>
        <v>227.2</v>
      </c>
      <c r="I16" s="75">
        <f>I13*1.42</f>
        <v>269.8</v>
      </c>
      <c r="J16" s="75">
        <f>J13*1.42</f>
        <v>120.69999999999999</v>
      </c>
      <c r="K16" s="75">
        <f>K13*1.42</f>
        <v>401.85999999999996</v>
      </c>
      <c r="L16" s="75">
        <f>L13*1.42</f>
        <v>109.33999999999999</v>
      </c>
      <c r="M16" s="75">
        <f>M13*1.18</f>
        <v>0</v>
      </c>
      <c r="N16" s="75">
        <f>N13*1.18</f>
        <v>0</v>
      </c>
      <c r="O16" s="76">
        <f>SUM(A16:L16)</f>
        <v>2031.9185999999997</v>
      </c>
      <c r="P16" s="76">
        <v>4000</v>
      </c>
      <c r="Q16" s="76">
        <v>4500.2378</v>
      </c>
      <c r="R16" s="21">
        <v>4217.0305</v>
      </c>
      <c r="S16" s="76">
        <v>1781.3</v>
      </c>
      <c r="T16" s="76">
        <v>3511.04</v>
      </c>
      <c r="U16" s="77">
        <v>8900</v>
      </c>
      <c r="V16" s="55"/>
      <c r="W16" s="78"/>
    </row>
    <row r="17" spans="1:23" s="25" customFormat="1" ht="15">
      <c r="A17" s="64" t="s">
        <v>51</v>
      </c>
      <c r="B17" s="46" t="s">
        <v>30</v>
      </c>
      <c r="C17" s="11">
        <v>0</v>
      </c>
      <c r="D17" s="11">
        <v>0</v>
      </c>
      <c r="E17" s="11">
        <v>0</v>
      </c>
      <c r="F17" s="11">
        <v>32</v>
      </c>
      <c r="G17" s="11">
        <v>233</v>
      </c>
      <c r="H17" s="11">
        <v>244</v>
      </c>
      <c r="I17" s="11">
        <v>252</v>
      </c>
      <c r="J17" s="11">
        <v>252</v>
      </c>
      <c r="K17" s="11">
        <v>243</v>
      </c>
      <c r="L17" s="11">
        <v>191</v>
      </c>
      <c r="M17" s="11">
        <v>0</v>
      </c>
      <c r="N17" s="11">
        <v>0</v>
      </c>
      <c r="O17" s="67">
        <f>SUM(A17:L17)</f>
        <v>1447</v>
      </c>
      <c r="P17" s="67">
        <v>3131</v>
      </c>
      <c r="Q17" s="67">
        <v>480</v>
      </c>
      <c r="R17" s="67">
        <v>3131</v>
      </c>
      <c r="S17" s="67">
        <v>4830</v>
      </c>
      <c r="T17" s="67">
        <v>7500</v>
      </c>
      <c r="U17" s="70">
        <v>8900</v>
      </c>
      <c r="V17" s="55"/>
      <c r="W17" s="24"/>
    </row>
    <row r="18" spans="1:23" s="25" customFormat="1" ht="15">
      <c r="A18" s="183" t="s">
        <v>84</v>
      </c>
      <c r="B18" s="210" t="s">
        <v>93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39">
        <v>46000</v>
      </c>
      <c r="O18" s="86">
        <v>46000</v>
      </c>
      <c r="P18" s="86">
        <v>44000</v>
      </c>
      <c r="Q18" s="86">
        <v>44000</v>
      </c>
      <c r="R18" s="67">
        <v>42000</v>
      </c>
      <c r="S18" s="67">
        <v>90700</v>
      </c>
      <c r="T18" s="67">
        <v>85500</v>
      </c>
      <c r="U18" s="70">
        <v>0</v>
      </c>
      <c r="V18" s="55"/>
      <c r="W18" s="24"/>
    </row>
    <row r="19" spans="1:23" s="25" customFormat="1" ht="15">
      <c r="A19" s="183" t="s">
        <v>96</v>
      </c>
      <c r="B19" s="210" t="s">
        <v>93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39">
        <v>17000</v>
      </c>
      <c r="O19" s="86">
        <v>17000</v>
      </c>
      <c r="P19" s="86">
        <v>15000</v>
      </c>
      <c r="Q19" s="86">
        <v>15000</v>
      </c>
      <c r="R19" s="67">
        <v>13000</v>
      </c>
      <c r="S19" s="67">
        <v>47040</v>
      </c>
      <c r="T19" s="67">
        <v>40000</v>
      </c>
      <c r="U19" s="70">
        <v>0</v>
      </c>
      <c r="V19" s="55"/>
      <c r="W19" s="24"/>
    </row>
    <row r="20" spans="1:23" s="25" customFormat="1" ht="15">
      <c r="A20" s="183" t="s">
        <v>95</v>
      </c>
      <c r="B20" s="210" t="s">
        <v>93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9">
        <v>3900</v>
      </c>
      <c r="O20" s="86">
        <v>3900</v>
      </c>
      <c r="P20" s="86">
        <v>6000</v>
      </c>
      <c r="Q20" s="86">
        <v>6040</v>
      </c>
      <c r="R20" s="67">
        <v>6890</v>
      </c>
      <c r="S20" s="67">
        <v>6090</v>
      </c>
      <c r="T20" s="67">
        <v>6750</v>
      </c>
      <c r="U20" s="70">
        <v>0</v>
      </c>
      <c r="V20" s="55"/>
      <c r="W20" s="24"/>
    </row>
    <row r="21" spans="1:23" s="25" customFormat="1" ht="15">
      <c r="A21" s="183" t="s">
        <v>94</v>
      </c>
      <c r="B21" s="210" t="s">
        <v>93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39">
        <v>640</v>
      </c>
      <c r="O21" s="86">
        <v>640</v>
      </c>
      <c r="P21" s="86">
        <v>1200</v>
      </c>
      <c r="Q21" s="86">
        <v>1275</v>
      </c>
      <c r="R21" s="67">
        <v>1226</v>
      </c>
      <c r="S21" s="67">
        <v>1120</v>
      </c>
      <c r="T21" s="67">
        <v>1580</v>
      </c>
      <c r="U21" s="70">
        <v>0</v>
      </c>
      <c r="V21" s="55"/>
      <c r="W21" s="24"/>
    </row>
    <row r="22" spans="1:23" s="25" customFormat="1" ht="15">
      <c r="A22" s="57" t="s">
        <v>23</v>
      </c>
      <c r="B22" s="49" t="s">
        <v>22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50">
        <v>0</v>
      </c>
      <c r="P22" s="37">
        <v>0</v>
      </c>
      <c r="Q22" s="37">
        <v>0</v>
      </c>
      <c r="R22" s="83">
        <v>0</v>
      </c>
      <c r="S22" s="37">
        <v>0</v>
      </c>
      <c r="T22" s="37"/>
      <c r="U22" s="71">
        <v>0</v>
      </c>
      <c r="V22" s="58" t="s">
        <v>45</v>
      </c>
      <c r="W22" s="24"/>
    </row>
    <row r="23" spans="1:23" s="18" customFormat="1" ht="16.5">
      <c r="A23" s="63" t="s">
        <v>64</v>
      </c>
      <c r="B23" s="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82"/>
      <c r="S23" s="15"/>
      <c r="T23" s="15"/>
      <c r="U23" s="15"/>
      <c r="V23" s="55"/>
      <c r="W23" s="19"/>
    </row>
    <row r="24" spans="1:23" s="18" customFormat="1" ht="16.5">
      <c r="A24" s="54" t="s">
        <v>17</v>
      </c>
      <c r="B24" s="2" t="s">
        <v>46</v>
      </c>
      <c r="C24" s="13" t="e">
        <f aca="true" t="shared" si="3" ref="C24:T24">C6/C3</f>
        <v>#DIV/0!</v>
      </c>
      <c r="D24" s="13" t="e">
        <f t="shared" si="3"/>
        <v>#DIV/0!</v>
      </c>
      <c r="E24" s="13" t="e">
        <f t="shared" si="3"/>
        <v>#DIV/0!</v>
      </c>
      <c r="F24" s="13">
        <f t="shared" si="3"/>
        <v>84.62489196197062</v>
      </c>
      <c r="G24" s="13">
        <f t="shared" si="3"/>
        <v>32.854807063440155</v>
      </c>
      <c r="H24" s="13">
        <f t="shared" si="3"/>
        <v>39.022961689587426</v>
      </c>
      <c r="I24" s="13">
        <f t="shared" si="3"/>
        <v>41.77399049881235</v>
      </c>
      <c r="J24" s="13">
        <f t="shared" si="3"/>
        <v>46.11461419935996</v>
      </c>
      <c r="K24" s="13">
        <f t="shared" si="3"/>
        <v>40.24054365944352</v>
      </c>
      <c r="L24" s="13">
        <f t="shared" si="3"/>
        <v>97.63056255247692</v>
      </c>
      <c r="M24" s="13" t="e">
        <f t="shared" si="3"/>
        <v>#DIV/0!</v>
      </c>
      <c r="N24" s="13" t="e">
        <f t="shared" si="3"/>
        <v>#DIV/0!</v>
      </c>
      <c r="O24" s="13">
        <f>O6/O3</f>
        <v>44.626808122823824</v>
      </c>
      <c r="P24" s="13">
        <f>P6/P3</f>
        <v>39.41091059946069</v>
      </c>
      <c r="Q24" s="13">
        <v>41.06976035743298</v>
      </c>
      <c r="R24" s="13">
        <v>40.39909727996199</v>
      </c>
      <c r="S24" s="13">
        <f t="shared" si="3"/>
        <v>44.99437504394497</v>
      </c>
      <c r="T24" s="13">
        <f t="shared" si="3"/>
        <v>45.90484535594184</v>
      </c>
      <c r="U24" s="13">
        <f>U6/U3</f>
        <v>44.711910286156225</v>
      </c>
      <c r="V24" s="55" t="s">
        <v>36</v>
      </c>
      <c r="W24" s="19"/>
    </row>
    <row r="25" spans="1:23" s="18" customFormat="1" ht="16.5">
      <c r="A25" s="54" t="s">
        <v>19</v>
      </c>
      <c r="B25" s="1" t="s">
        <v>25</v>
      </c>
      <c r="C25" s="14" t="e">
        <f>C11/C3</f>
        <v>#DIV/0!</v>
      </c>
      <c r="D25" s="14" t="e">
        <f aca="true" t="shared" si="4" ref="D25:N25">D11/D3</f>
        <v>#DIV/0!</v>
      </c>
      <c r="E25" s="14" t="e">
        <f t="shared" si="4"/>
        <v>#DIV/0!</v>
      </c>
      <c r="F25" s="14">
        <f t="shared" si="4"/>
        <v>0.3439930855661193</v>
      </c>
      <c r="G25" s="14">
        <f t="shared" si="4"/>
        <v>0.48201438848920863</v>
      </c>
      <c r="H25" s="14">
        <f t="shared" si="4"/>
        <v>0.2840127701375246</v>
      </c>
      <c r="I25" s="14">
        <f t="shared" si="4"/>
        <v>0.8902612826603326</v>
      </c>
      <c r="J25" s="14">
        <f t="shared" si="4"/>
        <v>1.0184899845916795</v>
      </c>
      <c r="K25" s="14">
        <f t="shared" si="4"/>
        <v>1.0705218617771508</v>
      </c>
      <c r="L25" s="14">
        <f t="shared" si="4"/>
        <v>1.8245172124265323</v>
      </c>
      <c r="M25" s="14" t="e">
        <f t="shared" si="4"/>
        <v>#DIV/0!</v>
      </c>
      <c r="N25" s="14" t="e">
        <f t="shared" si="4"/>
        <v>#DIV/0!</v>
      </c>
      <c r="O25" s="14">
        <f>O11/O3</f>
        <v>0.7882597621106255</v>
      </c>
      <c r="P25" s="14">
        <f>P11/P3</f>
        <v>0.651317154117403</v>
      </c>
      <c r="Q25" s="14">
        <v>0.5751421608448416</v>
      </c>
      <c r="R25" s="14">
        <v>0.6728827651740111</v>
      </c>
      <c r="S25" s="14">
        <f>S11/S3</f>
        <v>0.871282255607378</v>
      </c>
      <c r="T25" s="14">
        <f>T11/T3</f>
        <v>1.1112584663477478</v>
      </c>
      <c r="U25" s="14">
        <f>U11/U3</f>
        <v>1.1587279923570357</v>
      </c>
      <c r="V25" s="53" t="s">
        <v>38</v>
      </c>
      <c r="W25" s="19"/>
    </row>
    <row r="26" spans="1:22" s="18" customFormat="1" ht="16.5">
      <c r="A26" s="54" t="s">
        <v>21</v>
      </c>
      <c r="B26" s="1" t="s">
        <v>47</v>
      </c>
      <c r="C26" s="14" t="e">
        <f aca="true" t="shared" si="5" ref="C26:U26">C13/C3</f>
        <v>#DIV/0!</v>
      </c>
      <c r="D26" s="14" t="e">
        <f t="shared" si="5"/>
        <v>#DIV/0!</v>
      </c>
      <c r="E26" s="14" t="e">
        <f t="shared" si="5"/>
        <v>#DIV/0!</v>
      </c>
      <c r="F26" s="14">
        <f t="shared" si="5"/>
        <v>0.2742178046672429</v>
      </c>
      <c r="G26" s="14">
        <f t="shared" si="5"/>
        <v>0.027338129496402876</v>
      </c>
      <c r="H26" s="14">
        <f t="shared" si="5"/>
        <v>0.019646365422396856</v>
      </c>
      <c r="I26" s="14">
        <f t="shared" si="5"/>
        <v>0.022565320665083134</v>
      </c>
      <c r="J26" s="14">
        <f t="shared" si="5"/>
        <v>0.010074671091620245</v>
      </c>
      <c r="K26" s="14">
        <f t="shared" si="5"/>
        <v>0.03628670342351584</v>
      </c>
      <c r="L26" s="14">
        <f t="shared" si="5"/>
        <v>0.06465155331654072</v>
      </c>
      <c r="M26" s="14" t="e">
        <f t="shared" si="5"/>
        <v>#DIV/0!</v>
      </c>
      <c r="N26" s="14" t="e">
        <f t="shared" si="5"/>
        <v>#DIV/0!</v>
      </c>
      <c r="O26" s="14">
        <f>O13/O3</f>
        <v>0.03646086976842007</v>
      </c>
      <c r="P26" s="13">
        <f>P13/P3</f>
        <v>0.05185646131507986</v>
      </c>
      <c r="Q26" s="13">
        <v>0.06321953696181966</v>
      </c>
      <c r="R26" s="13">
        <v>0.07802094468860118</v>
      </c>
      <c r="S26" s="13">
        <f t="shared" si="5"/>
        <v>0.044413715517847514</v>
      </c>
      <c r="T26" s="13">
        <f t="shared" si="5"/>
        <v>0.07995074124946715</v>
      </c>
      <c r="U26" s="13">
        <f t="shared" si="5"/>
        <v>0.1439879896274055</v>
      </c>
      <c r="V26" s="53" t="s">
        <v>41</v>
      </c>
    </row>
    <row r="27" spans="1:22" s="18" customFormat="1" ht="16.5">
      <c r="A27" s="54" t="s">
        <v>32</v>
      </c>
      <c r="B27" s="45" t="s">
        <v>33</v>
      </c>
      <c r="C27" s="14" t="e">
        <f>C15/C3</f>
        <v>#DIV/0!</v>
      </c>
      <c r="D27" s="14" t="e">
        <f aca="true" t="shared" si="6" ref="D27:N27">D15/D3</f>
        <v>#DIV/0!</v>
      </c>
      <c r="E27" s="14" t="e">
        <f t="shared" si="6"/>
        <v>#DIV/0!</v>
      </c>
      <c r="F27" s="14">
        <f t="shared" si="6"/>
        <v>87.49512972342265</v>
      </c>
      <c r="G27" s="14">
        <f t="shared" si="6"/>
        <v>33.140955264879004</v>
      </c>
      <c r="H27" s="14">
        <f t="shared" si="6"/>
        <v>39.22860019646365</v>
      </c>
      <c r="I27" s="14">
        <f t="shared" si="6"/>
        <v>42.01018171021377</v>
      </c>
      <c r="J27" s="14">
        <f t="shared" si="6"/>
        <v>46.22006578167595</v>
      </c>
      <c r="K27" s="14">
        <f t="shared" si="6"/>
        <v>40.620356584177465</v>
      </c>
      <c r="L27" s="14">
        <f t="shared" si="6"/>
        <v>98.30727036104115</v>
      </c>
      <c r="M27" s="14" t="e">
        <f t="shared" si="6"/>
        <v>#DIV/0!</v>
      </c>
      <c r="N27" s="14" t="e">
        <f t="shared" si="6"/>
        <v>#DIV/0!</v>
      </c>
      <c r="O27" s="14">
        <f>O15/O3</f>
        <v>45.00844404668988</v>
      </c>
      <c r="P27" s="14">
        <f>P15/P3</f>
        <v>39.953692180045635</v>
      </c>
      <c r="Q27" s="14">
        <v>41.73147925081235</v>
      </c>
      <c r="R27" s="14">
        <v>41.215742508017584</v>
      </c>
      <c r="S27" s="14">
        <f>S15/S3</f>
        <v>45.45925340427028</v>
      </c>
      <c r="T27" s="14">
        <f>T15/T3</f>
        <v>46.30114147681523</v>
      </c>
      <c r="U27" s="14">
        <f>U15/U3</f>
        <v>46.21903257358628</v>
      </c>
      <c r="V27" s="55" t="s">
        <v>42</v>
      </c>
    </row>
    <row r="28" spans="1:22" s="18" customFormat="1" ht="16.5">
      <c r="A28" s="183" t="s">
        <v>84</v>
      </c>
      <c r="B28" s="210" t="s">
        <v>98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>
        <f>O18/O3</f>
        <v>1.0749421634379455</v>
      </c>
      <c r="P28" s="218">
        <f aca="true" t="shared" si="7" ref="P28:U28">P18/P3</f>
        <v>0.9126737191454055</v>
      </c>
      <c r="Q28" s="218">
        <f t="shared" si="7"/>
        <v>0.8935824532900081</v>
      </c>
      <c r="R28" s="218">
        <f t="shared" si="7"/>
        <v>0.8314526665874807</v>
      </c>
      <c r="S28" s="218">
        <f t="shared" si="7"/>
        <v>2.125764642463731</v>
      </c>
      <c r="T28" s="218">
        <f t="shared" si="7"/>
        <v>2.024818831999242</v>
      </c>
      <c r="U28" s="218">
        <f t="shared" si="7"/>
        <v>0</v>
      </c>
      <c r="V28" s="219"/>
    </row>
    <row r="29" spans="1:22" s="18" customFormat="1" ht="16.5">
      <c r="A29" s="183" t="s">
        <v>96</v>
      </c>
      <c r="B29" s="210" t="s">
        <v>98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>
        <f>O19/O3</f>
        <v>0.3972612343140233</v>
      </c>
      <c r="P29" s="218">
        <f aca="true" t="shared" si="8" ref="P29:U29">P19/P3</f>
        <v>0.3111387678904792</v>
      </c>
      <c r="Q29" s="218">
        <f t="shared" si="8"/>
        <v>0.30463038180341184</v>
      </c>
      <c r="R29" s="218">
        <f t="shared" si="8"/>
        <v>0.2573543968008869</v>
      </c>
      <c r="S29" s="218">
        <f t="shared" si="8"/>
        <v>1.1024913867860406</v>
      </c>
      <c r="T29" s="218">
        <f t="shared" si="8"/>
        <v>0.9472836640932127</v>
      </c>
      <c r="U29" s="218">
        <f t="shared" si="8"/>
        <v>0</v>
      </c>
      <c r="V29" s="219"/>
    </row>
    <row r="30" spans="1:22" s="18" customFormat="1" ht="16.5">
      <c r="A30" s="183" t="s">
        <v>95</v>
      </c>
      <c r="B30" s="210" t="s">
        <v>98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>
        <f>O20/O3</f>
        <v>0.09113640081321711</v>
      </c>
      <c r="P30" s="218">
        <f aca="true" t="shared" si="9" ref="P30:U30">P20/P3</f>
        <v>0.12445550715619166</v>
      </c>
      <c r="Q30" s="218">
        <f t="shared" si="9"/>
        <v>0.12266450040617384</v>
      </c>
      <c r="R30" s="218">
        <f t="shared" si="9"/>
        <v>0.13639783030447006</v>
      </c>
      <c r="S30" s="218">
        <f t="shared" si="9"/>
        <v>0.14273325989640706</v>
      </c>
      <c r="T30" s="218">
        <f t="shared" si="9"/>
        <v>0.15985411831572965</v>
      </c>
      <c r="U30" s="218">
        <f t="shared" si="9"/>
        <v>0</v>
      </c>
      <c r="V30" s="219"/>
    </row>
    <row r="31" spans="1:22" s="18" customFormat="1" ht="16.5">
      <c r="A31" s="183" t="s">
        <v>94</v>
      </c>
      <c r="B31" s="210" t="s">
        <v>98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>
        <f>O21/O3</f>
        <v>0.014955717056527937</v>
      </c>
      <c r="P31" s="218">
        <f aca="true" t="shared" si="10" ref="P31:U31">P21/P3</f>
        <v>0.024891101431238332</v>
      </c>
      <c r="Q31" s="218">
        <f t="shared" si="10"/>
        <v>0.025893582453290008</v>
      </c>
      <c r="R31" s="218">
        <f t="shared" si="10"/>
        <v>0.024270499267529794</v>
      </c>
      <c r="S31" s="218">
        <f t="shared" si="10"/>
        <v>0.02624979492347716</v>
      </c>
      <c r="T31" s="218">
        <f t="shared" si="10"/>
        <v>0.037417704731681906</v>
      </c>
      <c r="U31" s="218">
        <f t="shared" si="10"/>
        <v>0</v>
      </c>
      <c r="V31" s="219"/>
    </row>
    <row r="32" spans="1:22" s="18" customFormat="1" ht="17.25" thickBot="1">
      <c r="A32" s="59" t="s">
        <v>26</v>
      </c>
      <c r="B32" s="16" t="s">
        <v>27</v>
      </c>
      <c r="C32" s="17" t="e">
        <f aca="true" t="shared" si="11" ref="C32:N32">C22/C4</f>
        <v>#DIV/0!</v>
      </c>
      <c r="D32" s="17" t="e">
        <f t="shared" si="11"/>
        <v>#DIV/0!</v>
      </c>
      <c r="E32" s="17" t="e">
        <f t="shared" si="11"/>
        <v>#DIV/0!</v>
      </c>
      <c r="F32" s="17">
        <f t="shared" si="11"/>
        <v>0</v>
      </c>
      <c r="G32" s="17">
        <f t="shared" si="11"/>
        <v>0</v>
      </c>
      <c r="H32" s="17">
        <f t="shared" si="11"/>
        <v>0</v>
      </c>
      <c r="I32" s="17">
        <f t="shared" si="11"/>
        <v>0</v>
      </c>
      <c r="J32" s="17">
        <f t="shared" si="11"/>
        <v>0</v>
      </c>
      <c r="K32" s="17">
        <f t="shared" si="11"/>
        <v>0</v>
      </c>
      <c r="L32" s="17">
        <f t="shared" si="11"/>
        <v>0</v>
      </c>
      <c r="M32" s="17" t="e">
        <f t="shared" si="11"/>
        <v>#DIV/0!</v>
      </c>
      <c r="N32" s="17" t="e">
        <f t="shared" si="11"/>
        <v>#DIV/0!</v>
      </c>
      <c r="O32" s="17">
        <f>O22/O4</f>
        <v>0</v>
      </c>
      <c r="P32" s="17">
        <v>0</v>
      </c>
      <c r="Q32" s="17">
        <v>0</v>
      </c>
      <c r="R32" s="84">
        <v>0</v>
      </c>
      <c r="S32" s="17">
        <v>0</v>
      </c>
      <c r="T32" s="17"/>
      <c r="U32" s="17">
        <v>0</v>
      </c>
      <c r="V32" s="60" t="s">
        <v>45</v>
      </c>
    </row>
    <row r="33" spans="1:23" ht="18.75">
      <c r="A33" s="63" t="s">
        <v>65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9"/>
      <c r="O33" s="29"/>
      <c r="P33" s="31"/>
      <c r="Q33" s="31"/>
      <c r="R33" s="85"/>
      <c r="S33" s="31"/>
      <c r="T33" s="31"/>
      <c r="U33" s="72"/>
      <c r="V33" s="30"/>
      <c r="W33" s="18"/>
    </row>
    <row r="34" spans="1:23" s="18" customFormat="1" ht="15">
      <c r="A34" s="54" t="s">
        <v>17</v>
      </c>
      <c r="B34" s="2" t="s">
        <v>60</v>
      </c>
      <c r="C34" s="13" t="e">
        <f>C6/C4</f>
        <v>#DIV/0!</v>
      </c>
      <c r="D34" s="13" t="e">
        <f>D6/D4</f>
        <v>#DIV/0!</v>
      </c>
      <c r="E34" s="13" t="e">
        <f aca="true" t="shared" si="12" ref="E34:U34">E6/E4</f>
        <v>#DIV/0!</v>
      </c>
      <c r="F34" s="13">
        <f t="shared" si="12"/>
        <v>32.790020093770934</v>
      </c>
      <c r="G34" s="13">
        <f t="shared" si="12"/>
        <v>13.431818181818182</v>
      </c>
      <c r="H34" s="13">
        <f t="shared" si="12"/>
        <v>13.602833540213158</v>
      </c>
      <c r="I34" s="13">
        <f t="shared" si="12"/>
        <v>12.60389866341778</v>
      </c>
      <c r="J34" s="13">
        <f t="shared" si="12"/>
        <v>14.094149610577794</v>
      </c>
      <c r="K34" s="13">
        <f t="shared" si="12"/>
        <v>16.522901969042856</v>
      </c>
      <c r="L34" s="13">
        <f t="shared" si="12"/>
        <v>43.63151969981238</v>
      </c>
      <c r="M34" s="13" t="e">
        <f t="shared" si="12"/>
        <v>#DIV/0!</v>
      </c>
      <c r="N34" s="13" t="e">
        <f t="shared" si="12"/>
        <v>#DIV/0!</v>
      </c>
      <c r="O34" s="13">
        <f>O6/O4</f>
        <v>15.625225004090984</v>
      </c>
      <c r="P34" s="13">
        <f>P6/P4</f>
        <v>13.772607009532093</v>
      </c>
      <c r="Q34" s="13">
        <v>14.355407746038958</v>
      </c>
      <c r="R34" s="13">
        <v>14.552040845431986</v>
      </c>
      <c r="S34" s="13">
        <f t="shared" si="12"/>
        <v>15.829670918640797</v>
      </c>
      <c r="T34" s="13">
        <f t="shared" si="12"/>
        <v>16.190658358530595</v>
      </c>
      <c r="U34" s="13">
        <f t="shared" si="12"/>
        <v>15.962911228956365</v>
      </c>
      <c r="V34" s="55" t="s">
        <v>36</v>
      </c>
      <c r="W34" s="19"/>
    </row>
    <row r="35" spans="1:23" s="18" customFormat="1" ht="16.5">
      <c r="A35" s="54" t="s">
        <v>19</v>
      </c>
      <c r="B35" s="1" t="s">
        <v>61</v>
      </c>
      <c r="C35" s="14" t="e">
        <f>C11/C4</f>
        <v>#DIV/0!</v>
      </c>
      <c r="D35" s="14" t="e">
        <f aca="true" t="shared" si="13" ref="D35:U35">D11/D4</f>
        <v>#DIV/0!</v>
      </c>
      <c r="E35" s="14" t="e">
        <f t="shared" si="13"/>
        <v>#DIV/0!</v>
      </c>
      <c r="F35" s="14">
        <f t="shared" si="13"/>
        <v>0.1332886805090422</v>
      </c>
      <c r="G35" s="14">
        <f t="shared" si="13"/>
        <v>0.19705882352941176</v>
      </c>
      <c r="H35" s="14">
        <f t="shared" si="13"/>
        <v>0.09900269657150194</v>
      </c>
      <c r="I35" s="14">
        <f t="shared" si="13"/>
        <v>0.2686064428279643</v>
      </c>
      <c r="J35" s="14">
        <f t="shared" si="13"/>
        <v>0.31128418764716537</v>
      </c>
      <c r="K35" s="14">
        <f t="shared" si="13"/>
        <v>0.4395598610087396</v>
      </c>
      <c r="L35" s="14">
        <f t="shared" si="13"/>
        <v>0.8153846153846154</v>
      </c>
      <c r="M35" s="14" t="e">
        <f t="shared" si="13"/>
        <v>#DIV/0!</v>
      </c>
      <c r="N35" s="14" t="e">
        <f t="shared" si="13"/>
        <v>#DIV/0!</v>
      </c>
      <c r="O35" s="14">
        <f>O11/O4</f>
        <v>0.2759941089837997</v>
      </c>
      <c r="P35" s="14">
        <f>P11/P4</f>
        <v>0.2276104526838462</v>
      </c>
      <c r="Q35" s="14">
        <v>0.2010335623828724</v>
      </c>
      <c r="R35" s="14">
        <v>0.24237713568555863</v>
      </c>
      <c r="S35" s="14">
        <f t="shared" si="13"/>
        <v>0.306529679988786</v>
      </c>
      <c r="T35" s="14">
        <f t="shared" si="13"/>
        <v>0.3919413307495698</v>
      </c>
      <c r="U35" s="14">
        <f t="shared" si="13"/>
        <v>0.4136855697312749</v>
      </c>
      <c r="V35" s="53" t="s">
        <v>38</v>
      </c>
      <c r="W35" s="19"/>
    </row>
    <row r="36" spans="1:22" s="18" customFormat="1" ht="16.5">
      <c r="A36" s="54" t="s">
        <v>21</v>
      </c>
      <c r="B36" s="1" t="s">
        <v>62</v>
      </c>
      <c r="C36" s="14" t="e">
        <f>C13/C4</f>
        <v>#DIV/0!</v>
      </c>
      <c r="D36" s="14" t="e">
        <f aca="true" t="shared" si="14" ref="D36:N36">D13/D4</f>
        <v>#DIV/0!</v>
      </c>
      <c r="E36" s="14" t="e">
        <f t="shared" si="14"/>
        <v>#DIV/0!</v>
      </c>
      <c r="F36" s="14">
        <f t="shared" si="14"/>
        <v>0.10625251172136638</v>
      </c>
      <c r="G36" s="14">
        <f t="shared" si="14"/>
        <v>0.011176470588235295</v>
      </c>
      <c r="H36" s="14">
        <f t="shared" si="14"/>
        <v>0.006848435560501648</v>
      </c>
      <c r="I36" s="14">
        <f t="shared" si="14"/>
        <v>0.0068083276597269505</v>
      </c>
      <c r="J36" s="14">
        <f t="shared" si="14"/>
        <v>0.003079152327476906</v>
      </c>
      <c r="K36" s="14">
        <f t="shared" si="14"/>
        <v>0.01489944192903022</v>
      </c>
      <c r="L36" s="14">
        <f t="shared" si="14"/>
        <v>0.028893058161350845</v>
      </c>
      <c r="M36" s="14" t="e">
        <f t="shared" si="14"/>
        <v>#DIV/0!</v>
      </c>
      <c r="N36" s="14" t="e">
        <f t="shared" si="14"/>
        <v>#DIV/0!</v>
      </c>
      <c r="O36" s="14">
        <f>O13/O4</f>
        <v>0.012766077565046637</v>
      </c>
      <c r="P36" s="14">
        <f>P13/P4</f>
        <v>0.018121851328331703</v>
      </c>
      <c r="Q36" s="14">
        <v>0.02209757794309728</v>
      </c>
      <c r="R36" s="14">
        <v>0.028103696625688127</v>
      </c>
      <c r="S36" s="14">
        <f>S13/S4</f>
        <v>0.01562538651186952</v>
      </c>
      <c r="T36" s="14">
        <f>T13/T4</f>
        <v>0.028198660229531748</v>
      </c>
      <c r="U36" s="14">
        <f>U13/U4</f>
        <v>0.05140615736943405</v>
      </c>
      <c r="V36" s="53" t="s">
        <v>41</v>
      </c>
    </row>
    <row r="37" spans="1:22" s="18" customFormat="1" ht="16.5">
      <c r="A37" s="54" t="s">
        <v>32</v>
      </c>
      <c r="B37" s="45" t="s">
        <v>63</v>
      </c>
      <c r="C37" s="14" t="e">
        <f>C15/C4</f>
        <v>#DIV/0!</v>
      </c>
      <c r="D37" s="14" t="e">
        <f aca="true" t="shared" si="15" ref="D37:N37">D15/D4</f>
        <v>#DIV/0!</v>
      </c>
      <c r="E37" s="14" t="e">
        <f t="shared" si="15"/>
        <v>#DIV/0!</v>
      </c>
      <c r="F37" s="14">
        <f t="shared" si="15"/>
        <v>33.902165133958476</v>
      </c>
      <c r="G37" s="14">
        <f t="shared" si="15"/>
        <v>13.54880229946524</v>
      </c>
      <c r="H37" s="14">
        <f t="shared" si="15"/>
        <v>13.674516115224927</v>
      </c>
      <c r="I37" s="14">
        <f t="shared" si="15"/>
        <v>12.675161429032142</v>
      </c>
      <c r="J37" s="14">
        <f t="shared" si="15"/>
        <v>14.126379097989496</v>
      </c>
      <c r="K37" s="14">
        <f t="shared" si="15"/>
        <v>16.678854427714015</v>
      </c>
      <c r="L37" s="14">
        <f t="shared" si="15"/>
        <v>43.933943339587245</v>
      </c>
      <c r="M37" s="14" t="e">
        <f t="shared" si="15"/>
        <v>#DIV/0!</v>
      </c>
      <c r="N37" s="14" t="e">
        <f t="shared" si="15"/>
        <v>#DIV/0!</v>
      </c>
      <c r="O37" s="14">
        <f>O15/O4</f>
        <v>15.758847537964328</v>
      </c>
      <c r="P37" s="14">
        <f>P15/P4</f>
        <v>13.962288427385742</v>
      </c>
      <c r="Q37" s="14">
        <v>14.586703094369359</v>
      </c>
      <c r="R37" s="14">
        <v>14.846202238013065</v>
      </c>
      <c r="S37" s="14">
        <f>S15/S4</f>
        <v>15.993221839260537</v>
      </c>
      <c r="T37" s="14">
        <f>T15/T4</f>
        <v>16.33043216785553</v>
      </c>
      <c r="U37" s="14">
        <f>U15/U4</f>
        <v>16.500979478142234</v>
      </c>
      <c r="V37" s="55" t="s">
        <v>42</v>
      </c>
    </row>
    <row r="38" spans="1:22" ht="16.5">
      <c r="A38" s="183" t="s">
        <v>84</v>
      </c>
      <c r="B38" s="210" t="s">
        <v>99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48">
        <f>O18/O4</f>
        <v>0.37637047946326296</v>
      </c>
      <c r="P38" s="148">
        <f aca="true" t="shared" si="16" ref="P38:U38">P18/P4</f>
        <v>0.31894458337863796</v>
      </c>
      <c r="Q38" s="148">
        <f t="shared" si="16"/>
        <v>0.31234028053836105</v>
      </c>
      <c r="R38" s="148">
        <f t="shared" si="16"/>
        <v>0.2994951367694458</v>
      </c>
      <c r="S38" s="148">
        <f t="shared" si="16"/>
        <v>0.7478747000667892</v>
      </c>
      <c r="T38" s="148">
        <f t="shared" si="16"/>
        <v>0.7141544578272999</v>
      </c>
      <c r="U38" s="148">
        <f t="shared" si="16"/>
        <v>0</v>
      </c>
      <c r="V38" s="44"/>
    </row>
    <row r="39" spans="1:22" ht="16.5">
      <c r="A39" s="183" t="s">
        <v>96</v>
      </c>
      <c r="B39" s="210" t="s">
        <v>99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142"/>
      <c r="O39" s="229">
        <f>O19/O4</f>
        <v>0.13909343806251023</v>
      </c>
      <c r="P39" s="229">
        <f aca="true" t="shared" si="17" ref="P39:U39">P19/P4</f>
        <v>0.10873110796999022</v>
      </c>
      <c r="Q39" s="229">
        <f t="shared" si="17"/>
        <v>0.10647964109262309</v>
      </c>
      <c r="R39" s="229">
        <f t="shared" si="17"/>
        <v>0.09270087566673323</v>
      </c>
      <c r="S39" s="229">
        <f t="shared" si="17"/>
        <v>0.3878723913025553</v>
      </c>
      <c r="T39" s="229">
        <f t="shared" si="17"/>
        <v>0.33410734869113445</v>
      </c>
      <c r="U39" s="229">
        <f t="shared" si="17"/>
        <v>0</v>
      </c>
      <c r="V39" s="142"/>
    </row>
    <row r="40" spans="1:22" ht="16.5">
      <c r="A40" s="183" t="s">
        <v>95</v>
      </c>
      <c r="B40" s="210" t="s">
        <v>99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48">
        <f>O20/O4</f>
        <v>0.031909671084928815</v>
      </c>
      <c r="P40" s="148">
        <f aca="true" t="shared" si="18" ref="P40:U40">P20/P4</f>
        <v>0.04349244318799608</v>
      </c>
      <c r="Q40" s="148">
        <f t="shared" si="18"/>
        <v>0.04287580214662957</v>
      </c>
      <c r="R40" s="148">
        <f t="shared" si="18"/>
        <v>0.049131464103368605</v>
      </c>
      <c r="S40" s="148">
        <f t="shared" si="18"/>
        <v>0.05021562208827725</v>
      </c>
      <c r="T40" s="148">
        <f t="shared" si="18"/>
        <v>0.05638061509162894</v>
      </c>
      <c r="U40" s="148">
        <f t="shared" si="18"/>
        <v>0</v>
      </c>
      <c r="V40" s="44"/>
    </row>
    <row r="41" spans="1:22" ht="16.5">
      <c r="A41" s="183" t="s">
        <v>94</v>
      </c>
      <c r="B41" s="210" t="s">
        <v>99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148">
        <f>O21/O4</f>
        <v>0.005236458844706267</v>
      </c>
      <c r="P41" s="148">
        <f aca="true" t="shared" si="19" ref="P41:U41">P21/P4</f>
        <v>0.008698488637599217</v>
      </c>
      <c r="Q41" s="148">
        <f t="shared" si="19"/>
        <v>0.009050769492872963</v>
      </c>
      <c r="R41" s="148">
        <f t="shared" si="19"/>
        <v>0.008742405659031918</v>
      </c>
      <c r="S41" s="148">
        <f t="shared" si="19"/>
        <v>0.009235056935775126</v>
      </c>
      <c r="T41" s="148">
        <f t="shared" si="19"/>
        <v>0.01319724027329981</v>
      </c>
      <c r="U41" s="148">
        <f t="shared" si="19"/>
        <v>0</v>
      </c>
      <c r="V41" s="44"/>
    </row>
  </sheetData>
  <sheetProtection/>
  <mergeCells count="2">
    <mergeCell ref="A1:P1"/>
    <mergeCell ref="B3:B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zoomScale="124" zoomScaleNormal="124" zoomScalePageLayoutView="0" workbookViewId="0" topLeftCell="A13">
      <selection activeCell="P18" sqref="P18:P21"/>
    </sheetView>
  </sheetViews>
  <sheetFormatPr defaultColWidth="9.140625" defaultRowHeight="15"/>
  <cols>
    <col min="1" max="1" width="17.421875" style="33" customWidth="1"/>
    <col min="2" max="2" width="7.7109375" style="34" customWidth="1"/>
    <col min="3" max="5" width="7.28125" style="35" bestFit="1" customWidth="1"/>
    <col min="6" max="9" width="8.00390625" style="35" bestFit="1" customWidth="1"/>
    <col min="10" max="10" width="9.57421875" style="35" customWidth="1"/>
    <col min="11" max="11" width="9.140625" style="35" customWidth="1"/>
    <col min="12" max="12" width="8.7109375" style="35" customWidth="1"/>
    <col min="13" max="13" width="7.8515625" style="35" customWidth="1"/>
    <col min="14" max="14" width="7.57421875" style="35" customWidth="1"/>
    <col min="15" max="15" width="10.28125" style="35" bestFit="1" customWidth="1"/>
    <col min="16" max="19" width="11.00390625" style="66" customWidth="1"/>
    <col min="20" max="20" width="10.57421875" style="66" customWidth="1"/>
    <col min="21" max="21" width="19.28125" style="36" customWidth="1"/>
    <col min="22" max="22" width="10.00390625" style="32" bestFit="1" customWidth="1"/>
    <col min="23" max="16384" width="9.140625" style="32" customWidth="1"/>
  </cols>
  <sheetData>
    <row r="1" spans="1:22" s="18" customFormat="1" ht="18">
      <c r="A1" s="236" t="s">
        <v>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51"/>
      <c r="Q1" s="51"/>
      <c r="R1" s="51"/>
      <c r="S1" s="51"/>
      <c r="T1" s="68"/>
      <c r="U1" s="52"/>
      <c r="V1" s="19"/>
    </row>
    <row r="2" spans="1:21" s="18" customFormat="1" ht="24.75" customHeight="1">
      <c r="A2" s="61" t="s">
        <v>66</v>
      </c>
      <c r="B2" s="1" t="s">
        <v>0</v>
      </c>
      <c r="C2" s="38" t="s">
        <v>1</v>
      </c>
      <c r="D2" s="38" t="s">
        <v>2</v>
      </c>
      <c r="E2" s="38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62" t="s">
        <v>68</v>
      </c>
      <c r="P2" s="62" t="s">
        <v>69</v>
      </c>
      <c r="Q2" s="20" t="s">
        <v>67</v>
      </c>
      <c r="R2" s="20" t="s">
        <v>58</v>
      </c>
      <c r="S2" s="20" t="s">
        <v>55</v>
      </c>
      <c r="T2" s="20" t="s">
        <v>44</v>
      </c>
      <c r="U2" s="53"/>
    </row>
    <row r="3" spans="1:22" s="18" customFormat="1" ht="16.5">
      <c r="A3" s="54" t="s">
        <v>13</v>
      </c>
      <c r="B3" s="238" t="s">
        <v>14</v>
      </c>
      <c r="C3" s="3">
        <v>0</v>
      </c>
      <c r="D3" s="3">
        <v>0</v>
      </c>
      <c r="E3" s="3">
        <v>0</v>
      </c>
      <c r="F3" s="3">
        <v>1532</v>
      </c>
      <c r="G3" s="3">
        <v>7998</v>
      </c>
      <c r="H3" s="3">
        <v>8210</v>
      </c>
      <c r="I3" s="4">
        <v>8416</v>
      </c>
      <c r="J3" s="3">
        <v>8483</v>
      </c>
      <c r="K3" s="3">
        <v>8182</v>
      </c>
      <c r="L3" s="3">
        <v>6385</v>
      </c>
      <c r="M3" s="3">
        <v>34</v>
      </c>
      <c r="N3" s="3">
        <v>0</v>
      </c>
      <c r="O3" s="40">
        <f>SUM(C3:N3)</f>
        <v>49240</v>
      </c>
      <c r="P3" s="21">
        <v>44700</v>
      </c>
      <c r="Q3" s="80">
        <v>50514</v>
      </c>
      <c r="R3" s="21">
        <v>42667</v>
      </c>
      <c r="S3" s="21">
        <f>'ATLANTICA MIKRI POLI CRETE 2015'!O3</f>
        <v>42226</v>
      </c>
      <c r="T3" s="69">
        <v>43962</v>
      </c>
      <c r="U3" s="53"/>
      <c r="V3" s="19"/>
    </row>
    <row r="4" spans="1:22" s="18" customFormat="1" ht="16.5">
      <c r="A4" s="54" t="s">
        <v>15</v>
      </c>
      <c r="B4" s="238"/>
      <c r="C4" s="3">
        <v>0</v>
      </c>
      <c r="D4" s="3">
        <v>0</v>
      </c>
      <c r="E4" s="3">
        <v>0</v>
      </c>
      <c r="F4" s="3">
        <v>3603</v>
      </c>
      <c r="G4" s="3">
        <v>20724</v>
      </c>
      <c r="H4" s="3">
        <v>22293</v>
      </c>
      <c r="I4" s="4">
        <v>28197</v>
      </c>
      <c r="J4" s="3">
        <v>27611</v>
      </c>
      <c r="K4" s="3">
        <v>19847</v>
      </c>
      <c r="L4" s="3">
        <v>18497</v>
      </c>
      <c r="M4" s="3">
        <v>100</v>
      </c>
      <c r="N4" s="3">
        <v>0</v>
      </c>
      <c r="O4" s="40">
        <f>SUM(C4:N4)</f>
        <v>140872</v>
      </c>
      <c r="P4" s="21">
        <v>127405</v>
      </c>
      <c r="Q4" s="80">
        <v>140236</v>
      </c>
      <c r="R4" s="21">
        <v>121277</v>
      </c>
      <c r="S4" s="21">
        <f>'ATLANTICA MIKRI POLI CRETE 2015'!O4</f>
        <v>119722</v>
      </c>
      <c r="T4" s="69">
        <v>123137</v>
      </c>
      <c r="U4" s="53"/>
      <c r="V4" s="19"/>
    </row>
    <row r="5" spans="1:22" s="18" customFormat="1" ht="16.5">
      <c r="A5" s="63" t="s">
        <v>16</v>
      </c>
      <c r="B5" s="41"/>
      <c r="C5" s="3"/>
      <c r="D5" s="3"/>
      <c r="E5" s="3"/>
      <c r="F5" s="42"/>
      <c r="G5" s="42"/>
      <c r="H5" s="42"/>
      <c r="I5" s="42"/>
      <c r="J5" s="42"/>
      <c r="K5" s="42"/>
      <c r="L5" s="42"/>
      <c r="M5" s="42"/>
      <c r="N5" s="43"/>
      <c r="O5" s="44"/>
      <c r="P5" s="65"/>
      <c r="Q5" s="81"/>
      <c r="R5" s="65"/>
      <c r="S5" s="65"/>
      <c r="T5" s="65"/>
      <c r="U5" s="53"/>
      <c r="V5" s="19"/>
    </row>
    <row r="6" spans="1:22" s="25" customFormat="1" ht="15">
      <c r="A6" s="54" t="s">
        <v>17</v>
      </c>
      <c r="B6" s="45" t="s">
        <v>18</v>
      </c>
      <c r="C6" s="5">
        <v>11606</v>
      </c>
      <c r="D6" s="5">
        <v>10867</v>
      </c>
      <c r="E6" s="5">
        <v>14172</v>
      </c>
      <c r="F6" s="5">
        <v>95592</v>
      </c>
      <c r="G6" s="5">
        <v>267706</v>
      </c>
      <c r="H6" s="5">
        <v>302457</v>
      </c>
      <c r="I6" s="5">
        <v>353275</v>
      </c>
      <c r="J6" s="6">
        <v>372353</v>
      </c>
      <c r="K6" s="6">
        <v>313837</v>
      </c>
      <c r="L6" s="6">
        <v>238317</v>
      </c>
      <c r="M6" s="6">
        <v>28518</v>
      </c>
      <c r="N6" s="6">
        <v>13575</v>
      </c>
      <c r="O6" s="6">
        <f aca="true" t="shared" si="0" ref="O6:O17">SUM(C6:N6)</f>
        <v>2022275</v>
      </c>
      <c r="P6" s="23">
        <v>1900000</v>
      </c>
      <c r="Q6" s="86">
        <v>2040720</v>
      </c>
      <c r="R6" s="23">
        <v>1919775</v>
      </c>
      <c r="S6" s="23">
        <f>'ATLANTICA MIKRI POLI CRETE 2015'!O6</f>
        <v>1938378</v>
      </c>
      <c r="T6" s="23">
        <v>1965625</v>
      </c>
      <c r="U6" s="53" t="s">
        <v>36</v>
      </c>
      <c r="V6" s="24">
        <f>P6/P3</f>
        <v>42.50559284116331</v>
      </c>
    </row>
    <row r="7" spans="1:22" s="25" customFormat="1" ht="15">
      <c r="A7" s="54" t="s">
        <v>17</v>
      </c>
      <c r="B7" s="45" t="s">
        <v>30</v>
      </c>
      <c r="C7" s="7">
        <v>1331</v>
      </c>
      <c r="D7" s="7">
        <v>1154</v>
      </c>
      <c r="E7" s="7">
        <v>1933</v>
      </c>
      <c r="F7" s="7">
        <v>12672</v>
      </c>
      <c r="G7" s="7">
        <v>30157</v>
      </c>
      <c r="H7" s="7">
        <v>36008</v>
      </c>
      <c r="I7" s="7">
        <v>34799</v>
      </c>
      <c r="J7" s="8">
        <v>36738</v>
      </c>
      <c r="K7" s="8">
        <v>31107</v>
      </c>
      <c r="L7" s="8">
        <v>23661</v>
      </c>
      <c r="M7" s="8">
        <v>3360</v>
      </c>
      <c r="N7" s="8">
        <v>1370</v>
      </c>
      <c r="O7" s="6">
        <f t="shared" si="0"/>
        <v>214290</v>
      </c>
      <c r="P7" s="23">
        <v>200000</v>
      </c>
      <c r="Q7" s="86">
        <v>224822</v>
      </c>
      <c r="R7" s="23">
        <v>207617</v>
      </c>
      <c r="S7" s="23">
        <f>'ATLANTICA MIKRI POLI CRETE 2015'!O7</f>
        <v>243776</v>
      </c>
      <c r="T7" s="23">
        <v>252347</v>
      </c>
      <c r="U7" s="53" t="s">
        <v>36</v>
      </c>
      <c r="V7" s="24">
        <f>P6/P4</f>
        <v>14.913072485381264</v>
      </c>
    </row>
    <row r="8" spans="1:22" s="25" customFormat="1" ht="15">
      <c r="A8" s="64" t="s">
        <v>31</v>
      </c>
      <c r="B8" s="45" t="s">
        <v>30</v>
      </c>
      <c r="C8" s="7">
        <v>2500</v>
      </c>
      <c r="D8" s="7">
        <v>2500</v>
      </c>
      <c r="E8" s="7">
        <v>2500</v>
      </c>
      <c r="F8" s="7">
        <v>3897</v>
      </c>
      <c r="G8" s="7">
        <v>32518</v>
      </c>
      <c r="H8" s="7">
        <v>34878</v>
      </c>
      <c r="I8" s="7">
        <v>36394</v>
      </c>
      <c r="J8" s="8">
        <v>35961</v>
      </c>
      <c r="K8" s="8">
        <v>34857</v>
      </c>
      <c r="L8" s="8">
        <v>28838</v>
      </c>
      <c r="M8" s="8">
        <v>2500</v>
      </c>
      <c r="N8" s="8">
        <v>2500</v>
      </c>
      <c r="O8" s="8">
        <f t="shared" si="0"/>
        <v>219843</v>
      </c>
      <c r="P8" s="26">
        <v>215320</v>
      </c>
      <c r="Q8" s="26">
        <v>224822</v>
      </c>
      <c r="R8" s="26">
        <v>207618</v>
      </c>
      <c r="S8" s="26">
        <v>243776</v>
      </c>
      <c r="T8" s="26">
        <v>252347</v>
      </c>
      <c r="U8" s="53" t="s">
        <v>36</v>
      </c>
      <c r="V8" s="24"/>
    </row>
    <row r="9" spans="1:22" s="25" customFormat="1" ht="15">
      <c r="A9" s="54" t="s">
        <v>48</v>
      </c>
      <c r="B9" s="46" t="s">
        <v>20</v>
      </c>
      <c r="C9" s="9">
        <v>0</v>
      </c>
      <c r="D9" s="9">
        <v>0</v>
      </c>
      <c r="E9" s="9">
        <v>0</v>
      </c>
      <c r="F9" s="9">
        <v>3</v>
      </c>
      <c r="G9" s="9">
        <v>304</v>
      </c>
      <c r="H9" s="9">
        <v>9694</v>
      </c>
      <c r="I9" s="9">
        <v>10097</v>
      </c>
      <c r="J9" s="9">
        <v>6544</v>
      </c>
      <c r="K9" s="9">
        <v>71</v>
      </c>
      <c r="L9" s="9">
        <v>0</v>
      </c>
      <c r="M9" s="27">
        <v>0</v>
      </c>
      <c r="N9" s="27">
        <v>0</v>
      </c>
      <c r="O9" s="21">
        <f t="shared" si="0"/>
        <v>26713</v>
      </c>
      <c r="P9" s="21">
        <v>30000</v>
      </c>
      <c r="Q9" s="21">
        <v>31913</v>
      </c>
      <c r="R9" s="21">
        <v>34637</v>
      </c>
      <c r="S9" s="21">
        <f>'ATLANTICA MIKRI POLI CRETE 2015'!O9</f>
        <v>43354</v>
      </c>
      <c r="T9" s="69">
        <v>49194</v>
      </c>
      <c r="U9" s="55" t="s">
        <v>37</v>
      </c>
      <c r="V9" s="24">
        <f>P11/P3</f>
        <v>0.7024608501118568</v>
      </c>
    </row>
    <row r="10" spans="1:22" s="25" customFormat="1" ht="15">
      <c r="A10" s="54" t="s">
        <v>49</v>
      </c>
      <c r="B10" s="46" t="s">
        <v>20</v>
      </c>
      <c r="C10" s="9">
        <v>287</v>
      </c>
      <c r="D10" s="9">
        <v>108</v>
      </c>
      <c r="E10" s="9">
        <v>144</v>
      </c>
      <c r="F10" s="9">
        <v>206</v>
      </c>
      <c r="G10" s="9">
        <v>181</v>
      </c>
      <c r="H10" s="9">
        <v>31</v>
      </c>
      <c r="I10" s="9">
        <v>160</v>
      </c>
      <c r="J10" s="9">
        <v>234</v>
      </c>
      <c r="K10" s="9">
        <v>78</v>
      </c>
      <c r="L10" s="9">
        <v>178</v>
      </c>
      <c r="M10" s="27">
        <v>0</v>
      </c>
      <c r="N10" s="27">
        <v>0</v>
      </c>
      <c r="O10" s="21">
        <f t="shared" si="0"/>
        <v>1607</v>
      </c>
      <c r="P10" s="21">
        <v>1400</v>
      </c>
      <c r="Q10" s="21">
        <v>2077</v>
      </c>
      <c r="R10" s="21">
        <v>2538</v>
      </c>
      <c r="S10" s="21">
        <v>3570</v>
      </c>
      <c r="T10" s="69">
        <v>1747</v>
      </c>
      <c r="U10" s="55" t="s">
        <v>38</v>
      </c>
      <c r="V10" s="24">
        <f>P11/P4</f>
        <v>0.24645814528472196</v>
      </c>
    </row>
    <row r="11" spans="1:22" s="25" customFormat="1" ht="15">
      <c r="A11" s="54" t="s">
        <v>50</v>
      </c>
      <c r="B11" s="47" t="s">
        <v>20</v>
      </c>
      <c r="C11" s="10">
        <f>SUM(C9:C10)</f>
        <v>287</v>
      </c>
      <c r="D11" s="10">
        <f aca="true" t="shared" si="1" ref="D11:N11">SUM(D9:D10)</f>
        <v>108</v>
      </c>
      <c r="E11" s="10">
        <f t="shared" si="1"/>
        <v>144</v>
      </c>
      <c r="F11" s="10">
        <f t="shared" si="1"/>
        <v>209</v>
      </c>
      <c r="G11" s="10">
        <f t="shared" si="1"/>
        <v>485</v>
      </c>
      <c r="H11" s="10">
        <f t="shared" si="1"/>
        <v>9725</v>
      </c>
      <c r="I11" s="10">
        <f t="shared" si="1"/>
        <v>10257</v>
      </c>
      <c r="J11" s="10">
        <f t="shared" si="1"/>
        <v>6778</v>
      </c>
      <c r="K11" s="10">
        <f t="shared" si="1"/>
        <v>149</v>
      </c>
      <c r="L11" s="10">
        <f t="shared" si="1"/>
        <v>178</v>
      </c>
      <c r="M11" s="10">
        <f t="shared" si="1"/>
        <v>0</v>
      </c>
      <c r="N11" s="10">
        <f t="shared" si="1"/>
        <v>0</v>
      </c>
      <c r="O11" s="48">
        <f t="shared" si="0"/>
        <v>28320</v>
      </c>
      <c r="P11" s="21">
        <f>SUM(P9:P10)</f>
        <v>31400</v>
      </c>
      <c r="Q11" s="21">
        <v>33990</v>
      </c>
      <c r="R11" s="21">
        <v>37175</v>
      </c>
      <c r="S11" s="21">
        <v>46924</v>
      </c>
      <c r="T11" s="69">
        <v>50940</v>
      </c>
      <c r="U11" s="56" t="s">
        <v>39</v>
      </c>
      <c r="V11" s="24"/>
    </row>
    <row r="12" spans="1:22" s="25" customFormat="1" ht="15">
      <c r="A12" s="64" t="s">
        <v>34</v>
      </c>
      <c r="B12" s="46" t="s">
        <v>30</v>
      </c>
      <c r="C12" s="9">
        <v>0</v>
      </c>
      <c r="D12" s="9">
        <v>0</v>
      </c>
      <c r="E12" s="11">
        <v>0</v>
      </c>
      <c r="F12" s="11">
        <v>346</v>
      </c>
      <c r="G12" s="11">
        <v>2824</v>
      </c>
      <c r="H12" s="11">
        <v>3480</v>
      </c>
      <c r="I12" s="11">
        <v>4236</v>
      </c>
      <c r="J12" s="11">
        <v>4186</v>
      </c>
      <c r="K12" s="9">
        <v>2898</v>
      </c>
      <c r="L12" s="9">
        <v>2664</v>
      </c>
      <c r="M12" s="27">
        <v>0</v>
      </c>
      <c r="N12" s="27">
        <v>0</v>
      </c>
      <c r="O12" s="11">
        <f t="shared" si="0"/>
        <v>20634</v>
      </c>
      <c r="P12" s="26">
        <v>22932</v>
      </c>
      <c r="Q12" s="26">
        <v>22932</v>
      </c>
      <c r="R12" s="26">
        <v>22326</v>
      </c>
      <c r="S12" s="26">
        <v>23592</v>
      </c>
      <c r="T12" s="26">
        <v>25000</v>
      </c>
      <c r="U12" s="55" t="s">
        <v>40</v>
      </c>
      <c r="V12" s="24"/>
    </row>
    <row r="13" spans="1:22" s="25" customFormat="1" ht="15">
      <c r="A13" s="54" t="s">
        <v>21</v>
      </c>
      <c r="B13" s="46" t="s">
        <v>22</v>
      </c>
      <c r="C13" s="9">
        <v>0</v>
      </c>
      <c r="D13" s="9">
        <v>30</v>
      </c>
      <c r="E13" s="9">
        <v>103</v>
      </c>
      <c r="F13" s="9">
        <f>113+387</f>
        <v>500</v>
      </c>
      <c r="G13" s="9">
        <f>134+300</f>
        <v>434</v>
      </c>
      <c r="H13" s="9">
        <f>176.93+200</f>
        <v>376.93</v>
      </c>
      <c r="I13" s="9">
        <f>190+200</f>
        <v>390</v>
      </c>
      <c r="J13" s="9">
        <f>171+100</f>
        <v>271</v>
      </c>
      <c r="K13" s="9">
        <f>156+100</f>
        <v>256</v>
      </c>
      <c r="L13" s="9">
        <f>107+610</f>
        <v>717</v>
      </c>
      <c r="M13" s="9">
        <v>0</v>
      </c>
      <c r="N13" s="9">
        <v>35</v>
      </c>
      <c r="O13" s="21">
        <f t="shared" si="0"/>
        <v>3112.9300000000003</v>
      </c>
      <c r="P13" s="21">
        <v>2500</v>
      </c>
      <c r="Q13" s="21">
        <v>3941.15</v>
      </c>
      <c r="R13" s="21">
        <v>1895</v>
      </c>
      <c r="S13" s="21">
        <v>3376</v>
      </c>
      <c r="T13" s="69">
        <v>6330</v>
      </c>
      <c r="U13" s="55" t="s">
        <v>41</v>
      </c>
      <c r="V13" s="24"/>
    </row>
    <row r="14" spans="1:22" s="25" customFormat="1" ht="15">
      <c r="A14" s="54" t="s">
        <v>21</v>
      </c>
      <c r="B14" s="46" t="s">
        <v>18</v>
      </c>
      <c r="C14" s="9">
        <f>C13*10.467</f>
        <v>0</v>
      </c>
      <c r="D14" s="9">
        <f>D13*10.467</f>
        <v>314.01</v>
      </c>
      <c r="E14" s="9">
        <f>E13*10.467</f>
        <v>1078.101</v>
      </c>
      <c r="F14" s="9">
        <f>F13*10.467</f>
        <v>5233.5</v>
      </c>
      <c r="G14" s="9">
        <f aca="true" t="shared" si="2" ref="G14:N14">G13*10.467</f>
        <v>4542.678</v>
      </c>
      <c r="H14" s="9">
        <f t="shared" si="2"/>
        <v>3945.3263100000004</v>
      </c>
      <c r="I14" s="9">
        <f t="shared" si="2"/>
        <v>4082.13</v>
      </c>
      <c r="J14" s="9">
        <f t="shared" si="2"/>
        <v>2836.5570000000002</v>
      </c>
      <c r="K14" s="9">
        <f t="shared" si="2"/>
        <v>2679.552</v>
      </c>
      <c r="L14" s="9">
        <f t="shared" si="2"/>
        <v>7504.839</v>
      </c>
      <c r="M14" s="9">
        <f t="shared" si="2"/>
        <v>0</v>
      </c>
      <c r="N14" s="9">
        <f t="shared" si="2"/>
        <v>366.345</v>
      </c>
      <c r="O14" s="21">
        <f t="shared" si="0"/>
        <v>32583.038310000004</v>
      </c>
      <c r="P14" s="21">
        <f>P13*10.467</f>
        <v>26167.5</v>
      </c>
      <c r="Q14" s="21">
        <v>41252.01705</v>
      </c>
      <c r="R14" s="21">
        <v>19834.965000000004</v>
      </c>
      <c r="S14" s="21">
        <v>35337</v>
      </c>
      <c r="T14" s="69">
        <f>T13*10.467</f>
        <v>66256.11</v>
      </c>
      <c r="U14" s="55"/>
      <c r="V14" s="24"/>
    </row>
    <row r="15" spans="1:22" s="25" customFormat="1" ht="15">
      <c r="A15" s="54" t="s">
        <v>32</v>
      </c>
      <c r="B15" s="46" t="s">
        <v>18</v>
      </c>
      <c r="C15" s="9">
        <f>C6+C14</f>
        <v>11606</v>
      </c>
      <c r="D15" s="9">
        <f aca="true" t="shared" si="3" ref="D15:N15">D6+D14</f>
        <v>11181.01</v>
      </c>
      <c r="E15" s="9">
        <f t="shared" si="3"/>
        <v>15250.101</v>
      </c>
      <c r="F15" s="9">
        <f t="shared" si="3"/>
        <v>100825.5</v>
      </c>
      <c r="G15" s="9">
        <f t="shared" si="3"/>
        <v>272248.678</v>
      </c>
      <c r="H15" s="9">
        <f t="shared" si="3"/>
        <v>306402.32631</v>
      </c>
      <c r="I15" s="9">
        <f t="shared" si="3"/>
        <v>357357.13</v>
      </c>
      <c r="J15" s="9">
        <f t="shared" si="3"/>
        <v>375189.557</v>
      </c>
      <c r="K15" s="9">
        <f t="shared" si="3"/>
        <v>316516.552</v>
      </c>
      <c r="L15" s="9">
        <f t="shared" si="3"/>
        <v>245821.839</v>
      </c>
      <c r="M15" s="9">
        <f t="shared" si="3"/>
        <v>28518</v>
      </c>
      <c r="N15" s="9">
        <f t="shared" si="3"/>
        <v>13941.345</v>
      </c>
      <c r="O15" s="21">
        <f t="shared" si="0"/>
        <v>2054858.0383100002</v>
      </c>
      <c r="P15" s="21">
        <f>P14+P6</f>
        <v>1926167.5</v>
      </c>
      <c r="Q15" s="21">
        <v>2081972.0170500001</v>
      </c>
      <c r="R15" s="21">
        <v>1939609.965</v>
      </c>
      <c r="S15" s="21">
        <v>1955112</v>
      </c>
      <c r="T15" s="69">
        <f>T14+T6</f>
        <v>2031881.11</v>
      </c>
      <c r="U15" s="55"/>
      <c r="V15" s="24"/>
    </row>
    <row r="16" spans="1:22" s="79" customFormat="1" ht="15">
      <c r="A16" s="73" t="s">
        <v>21</v>
      </c>
      <c r="B16" s="74" t="s">
        <v>30</v>
      </c>
      <c r="C16" s="75">
        <f>C13*1.07</f>
        <v>0</v>
      </c>
      <c r="D16" s="75">
        <f>D13*1.34</f>
        <v>40.2</v>
      </c>
      <c r="E16" s="75">
        <f>E13*1.34</f>
        <v>138.02</v>
      </c>
      <c r="F16" s="75">
        <f>F13*1.42</f>
        <v>710</v>
      </c>
      <c r="G16" s="75">
        <f>G13*1.44</f>
        <v>624.9599999999999</v>
      </c>
      <c r="H16" s="75">
        <f>H13*1.46</f>
        <v>550.3178</v>
      </c>
      <c r="I16" s="75">
        <f aca="true" t="shared" si="4" ref="I16:N16">I13*1.46</f>
        <v>569.4</v>
      </c>
      <c r="J16" s="75">
        <f t="shared" si="4"/>
        <v>395.65999999999997</v>
      </c>
      <c r="K16" s="75">
        <f t="shared" si="4"/>
        <v>373.76</v>
      </c>
      <c r="L16" s="75">
        <f t="shared" si="4"/>
        <v>1046.82</v>
      </c>
      <c r="M16" s="75">
        <f t="shared" si="4"/>
        <v>0</v>
      </c>
      <c r="N16" s="75">
        <f t="shared" si="4"/>
        <v>51.1</v>
      </c>
      <c r="O16" s="76">
        <f t="shared" si="0"/>
        <v>4500.2378</v>
      </c>
      <c r="P16" s="76">
        <v>4000</v>
      </c>
      <c r="Q16" s="21">
        <v>4217.0305</v>
      </c>
      <c r="R16" s="76">
        <v>1781.3</v>
      </c>
      <c r="S16" s="76">
        <v>3511.04</v>
      </c>
      <c r="T16" s="77">
        <v>8900</v>
      </c>
      <c r="U16" s="55"/>
      <c r="V16" s="78"/>
    </row>
    <row r="17" spans="1:22" s="25" customFormat="1" ht="15">
      <c r="A17" s="64" t="s">
        <v>51</v>
      </c>
      <c r="B17" s="46" t="s">
        <v>30</v>
      </c>
      <c r="C17" s="9">
        <v>0</v>
      </c>
      <c r="D17" s="9">
        <v>0</v>
      </c>
      <c r="E17" s="9">
        <v>0</v>
      </c>
      <c r="F17" s="11">
        <v>9</v>
      </c>
      <c r="G17" s="11">
        <v>75</v>
      </c>
      <c r="H17" s="11">
        <v>81</v>
      </c>
      <c r="I17" s="11">
        <v>84</v>
      </c>
      <c r="J17" s="11">
        <v>83</v>
      </c>
      <c r="K17" s="11">
        <v>81</v>
      </c>
      <c r="L17" s="11">
        <v>67</v>
      </c>
      <c r="M17" s="9">
        <v>0</v>
      </c>
      <c r="N17" s="9">
        <v>0</v>
      </c>
      <c r="O17" s="67">
        <f t="shared" si="0"/>
        <v>480</v>
      </c>
      <c r="P17" s="67">
        <v>3131</v>
      </c>
      <c r="Q17" s="67">
        <v>3131</v>
      </c>
      <c r="R17" s="67">
        <v>4830</v>
      </c>
      <c r="S17" s="67">
        <v>7500</v>
      </c>
      <c r="T17" s="70">
        <v>8900</v>
      </c>
      <c r="U17" s="55"/>
      <c r="V17" s="24"/>
    </row>
    <row r="18" spans="1:22" s="25" customFormat="1" ht="15">
      <c r="A18" s="183" t="s">
        <v>84</v>
      </c>
      <c r="B18" s="210" t="s">
        <v>93</v>
      </c>
      <c r="C18" s="9"/>
      <c r="D18" s="9"/>
      <c r="E18" s="9"/>
      <c r="F18" s="11"/>
      <c r="G18" s="11"/>
      <c r="H18" s="11"/>
      <c r="I18" s="11"/>
      <c r="J18" s="11"/>
      <c r="K18" s="11"/>
      <c r="L18" s="11"/>
      <c r="M18" s="9"/>
      <c r="N18" s="139">
        <v>44000</v>
      </c>
      <c r="O18" s="86">
        <v>44000</v>
      </c>
      <c r="P18" s="86">
        <v>45000</v>
      </c>
      <c r="Q18" s="86">
        <v>42000</v>
      </c>
      <c r="R18" s="226">
        <v>90700</v>
      </c>
      <c r="S18" s="227">
        <v>85500</v>
      </c>
      <c r="T18" s="213">
        <v>0</v>
      </c>
      <c r="U18" s="55"/>
      <c r="V18" s="24"/>
    </row>
    <row r="19" spans="1:22" s="25" customFormat="1" ht="15">
      <c r="A19" s="183" t="s">
        <v>96</v>
      </c>
      <c r="B19" s="210" t="s">
        <v>93</v>
      </c>
      <c r="C19" s="9"/>
      <c r="D19" s="9"/>
      <c r="E19" s="9"/>
      <c r="F19" s="11"/>
      <c r="G19" s="11"/>
      <c r="H19" s="11"/>
      <c r="I19" s="11"/>
      <c r="J19" s="11"/>
      <c r="K19" s="11"/>
      <c r="L19" s="11"/>
      <c r="M19" s="9"/>
      <c r="N19" s="139">
        <v>15000</v>
      </c>
      <c r="O19" s="86">
        <v>15000</v>
      </c>
      <c r="P19" s="86">
        <v>15000</v>
      </c>
      <c r="Q19" s="86">
        <v>13000</v>
      </c>
      <c r="R19" s="226">
        <v>47040</v>
      </c>
      <c r="S19" s="227">
        <v>40000</v>
      </c>
      <c r="T19" s="70">
        <v>0</v>
      </c>
      <c r="U19" s="55"/>
      <c r="V19" s="24"/>
    </row>
    <row r="20" spans="1:22" s="25" customFormat="1" ht="15">
      <c r="A20" s="183" t="s">
        <v>95</v>
      </c>
      <c r="B20" s="210" t="s">
        <v>93</v>
      </c>
      <c r="C20" s="9"/>
      <c r="D20" s="9"/>
      <c r="E20" s="9"/>
      <c r="F20" s="11"/>
      <c r="G20" s="11"/>
      <c r="H20" s="11"/>
      <c r="I20" s="11"/>
      <c r="J20" s="11"/>
      <c r="K20" s="11"/>
      <c r="L20" s="11"/>
      <c r="M20" s="9"/>
      <c r="N20" s="139">
        <v>6040</v>
      </c>
      <c r="O20" s="86">
        <v>6040</v>
      </c>
      <c r="P20" s="86">
        <v>6600</v>
      </c>
      <c r="Q20" s="86">
        <v>6890</v>
      </c>
      <c r="R20" s="226">
        <v>6090</v>
      </c>
      <c r="S20" s="227">
        <v>6750</v>
      </c>
      <c r="T20" s="70">
        <v>0</v>
      </c>
      <c r="U20" s="55"/>
      <c r="V20" s="24"/>
    </row>
    <row r="21" spans="1:22" s="25" customFormat="1" ht="15">
      <c r="A21" s="183" t="s">
        <v>94</v>
      </c>
      <c r="B21" s="210" t="s">
        <v>93</v>
      </c>
      <c r="C21" s="9"/>
      <c r="D21" s="9"/>
      <c r="E21" s="9"/>
      <c r="F21" s="11"/>
      <c r="G21" s="11"/>
      <c r="H21" s="11"/>
      <c r="I21" s="11"/>
      <c r="J21" s="11"/>
      <c r="K21" s="11"/>
      <c r="L21" s="11"/>
      <c r="M21" s="9"/>
      <c r="N21" s="139">
        <v>1275</v>
      </c>
      <c r="O21" s="86">
        <v>1275</v>
      </c>
      <c r="P21" s="86">
        <v>1200</v>
      </c>
      <c r="Q21" s="86">
        <v>1226</v>
      </c>
      <c r="R21" s="226">
        <v>1120</v>
      </c>
      <c r="S21" s="227">
        <v>1580</v>
      </c>
      <c r="T21" s="70">
        <v>0</v>
      </c>
      <c r="U21" s="55"/>
      <c r="V21" s="24"/>
    </row>
    <row r="22" spans="1:22" s="25" customFormat="1" ht="15">
      <c r="A22" s="57" t="s">
        <v>23</v>
      </c>
      <c r="B22" s="49" t="s">
        <v>22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50">
        <v>0</v>
      </c>
      <c r="P22" s="37">
        <v>0</v>
      </c>
      <c r="Q22" s="83">
        <v>0</v>
      </c>
      <c r="R22" s="37">
        <v>0</v>
      </c>
      <c r="S22" s="37"/>
      <c r="T22" s="71">
        <v>0</v>
      </c>
      <c r="U22" s="58" t="s">
        <v>45</v>
      </c>
      <c r="V22" s="24"/>
    </row>
    <row r="23" spans="1:22" s="18" customFormat="1" ht="16.5">
      <c r="A23" s="63" t="s">
        <v>64</v>
      </c>
      <c r="B23" s="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82"/>
      <c r="R23" s="15"/>
      <c r="S23" s="15"/>
      <c r="T23" s="15"/>
      <c r="U23" s="55"/>
      <c r="V23" s="19"/>
    </row>
    <row r="24" spans="1:22" s="18" customFormat="1" ht="16.5">
      <c r="A24" s="54" t="s">
        <v>17</v>
      </c>
      <c r="B24" s="2" t="s">
        <v>46</v>
      </c>
      <c r="C24" s="13" t="e">
        <f aca="true" t="shared" si="5" ref="C24:S24">C6/C3</f>
        <v>#DIV/0!</v>
      </c>
      <c r="D24" s="13" t="e">
        <f t="shared" si="5"/>
        <v>#DIV/0!</v>
      </c>
      <c r="E24" s="13" t="e">
        <f t="shared" si="5"/>
        <v>#DIV/0!</v>
      </c>
      <c r="F24" s="13">
        <f t="shared" si="5"/>
        <v>62.39686684073107</v>
      </c>
      <c r="G24" s="13">
        <f t="shared" si="5"/>
        <v>33.47161790447612</v>
      </c>
      <c r="H24" s="13">
        <f t="shared" si="5"/>
        <v>36.8400730816078</v>
      </c>
      <c r="I24" s="13">
        <f t="shared" si="5"/>
        <v>41.97659220532319</v>
      </c>
      <c r="J24" s="13">
        <f t="shared" si="5"/>
        <v>43.894023340799244</v>
      </c>
      <c r="K24" s="13">
        <f t="shared" si="5"/>
        <v>38.35700317770716</v>
      </c>
      <c r="L24" s="13">
        <f t="shared" si="5"/>
        <v>37.32451057165231</v>
      </c>
      <c r="M24" s="13">
        <f t="shared" si="5"/>
        <v>838.7647058823529</v>
      </c>
      <c r="N24" s="13" t="e">
        <f t="shared" si="5"/>
        <v>#DIV/0!</v>
      </c>
      <c r="O24" s="13">
        <f t="shared" si="5"/>
        <v>41.06976035743298</v>
      </c>
      <c r="P24" s="13">
        <f t="shared" si="5"/>
        <v>42.50559284116331</v>
      </c>
      <c r="Q24" s="13">
        <v>40.39909727996199</v>
      </c>
      <c r="R24" s="13">
        <f t="shared" si="5"/>
        <v>44.99437504394497</v>
      </c>
      <c r="S24" s="13">
        <f t="shared" si="5"/>
        <v>45.90484535594184</v>
      </c>
      <c r="T24" s="13">
        <f>T6/T3</f>
        <v>44.711910286156225</v>
      </c>
      <c r="U24" s="55" t="s">
        <v>36</v>
      </c>
      <c r="V24" s="19"/>
    </row>
    <row r="25" spans="1:22" s="18" customFormat="1" ht="16.5">
      <c r="A25" s="54" t="s">
        <v>19</v>
      </c>
      <c r="B25" s="1" t="s">
        <v>25</v>
      </c>
      <c r="C25" s="14" t="e">
        <f>C11/C3</f>
        <v>#DIV/0!</v>
      </c>
      <c r="D25" s="14" t="e">
        <f aca="true" t="shared" si="6" ref="D25:N25">D11/D3</f>
        <v>#DIV/0!</v>
      </c>
      <c r="E25" s="14" t="e">
        <f t="shared" si="6"/>
        <v>#DIV/0!</v>
      </c>
      <c r="F25" s="14">
        <f t="shared" si="6"/>
        <v>0.13642297650130547</v>
      </c>
      <c r="G25" s="14">
        <f t="shared" si="6"/>
        <v>0.06064016004001</v>
      </c>
      <c r="H25" s="14">
        <f t="shared" si="6"/>
        <v>1.184531059683313</v>
      </c>
      <c r="I25" s="14">
        <f t="shared" si="6"/>
        <v>1.21875</v>
      </c>
      <c r="J25" s="14">
        <f t="shared" si="6"/>
        <v>0.7990097842744313</v>
      </c>
      <c r="K25" s="14">
        <f t="shared" si="6"/>
        <v>0.01821070642874603</v>
      </c>
      <c r="L25" s="14">
        <f t="shared" si="6"/>
        <v>0.027877838684416602</v>
      </c>
      <c r="M25" s="14">
        <f t="shared" si="6"/>
        <v>0</v>
      </c>
      <c r="N25" s="14" t="e">
        <f t="shared" si="6"/>
        <v>#DIV/0!</v>
      </c>
      <c r="O25" s="14">
        <f>O11/O3</f>
        <v>0.5751421608448416</v>
      </c>
      <c r="P25" s="14">
        <f>P11/P3</f>
        <v>0.7024608501118568</v>
      </c>
      <c r="Q25" s="14">
        <v>0.6728827651740111</v>
      </c>
      <c r="R25" s="14">
        <f>R11/R3</f>
        <v>0.871282255607378</v>
      </c>
      <c r="S25" s="14">
        <f>S11/S3</f>
        <v>1.1112584663477478</v>
      </c>
      <c r="T25" s="14">
        <f>T11/T3</f>
        <v>1.1587279923570357</v>
      </c>
      <c r="U25" s="53" t="s">
        <v>38</v>
      </c>
      <c r="V25" s="19"/>
    </row>
    <row r="26" spans="1:21" s="18" customFormat="1" ht="16.5">
      <c r="A26" s="54" t="s">
        <v>21</v>
      </c>
      <c r="B26" s="1" t="s">
        <v>47</v>
      </c>
      <c r="C26" s="14" t="e">
        <f aca="true" t="shared" si="7" ref="C26:T26">C13/C3</f>
        <v>#DIV/0!</v>
      </c>
      <c r="D26" s="14" t="e">
        <f t="shared" si="7"/>
        <v>#DIV/0!</v>
      </c>
      <c r="E26" s="14" t="e">
        <f t="shared" si="7"/>
        <v>#DIV/0!</v>
      </c>
      <c r="F26" s="14">
        <f t="shared" si="7"/>
        <v>0.3263707571801567</v>
      </c>
      <c r="G26" s="14">
        <f t="shared" si="7"/>
        <v>0.05426356589147287</v>
      </c>
      <c r="H26" s="14">
        <f t="shared" si="7"/>
        <v>0.045911084043848964</v>
      </c>
      <c r="I26" s="14">
        <f t="shared" si="7"/>
        <v>0.046340304182509506</v>
      </c>
      <c r="J26" s="14">
        <f t="shared" si="7"/>
        <v>0.031946245432040554</v>
      </c>
      <c r="K26" s="14">
        <f t="shared" si="7"/>
        <v>0.03128819359569787</v>
      </c>
      <c r="L26" s="14">
        <f t="shared" si="7"/>
        <v>0.11229444009397024</v>
      </c>
      <c r="M26" s="14">
        <f t="shared" si="7"/>
        <v>0</v>
      </c>
      <c r="N26" s="14" t="e">
        <f t="shared" si="7"/>
        <v>#DIV/0!</v>
      </c>
      <c r="O26" s="14">
        <f t="shared" si="7"/>
        <v>0.06321953696181966</v>
      </c>
      <c r="P26" s="13">
        <f t="shared" si="7"/>
        <v>0.05592841163310962</v>
      </c>
      <c r="Q26" s="13">
        <v>0.07802094468860118</v>
      </c>
      <c r="R26" s="13">
        <f t="shared" si="7"/>
        <v>0.044413715517847514</v>
      </c>
      <c r="S26" s="13">
        <f t="shared" si="7"/>
        <v>0.07995074124946715</v>
      </c>
      <c r="T26" s="13">
        <f t="shared" si="7"/>
        <v>0.1439879896274055</v>
      </c>
      <c r="U26" s="53" t="s">
        <v>41</v>
      </c>
    </row>
    <row r="27" spans="1:21" s="18" customFormat="1" ht="16.5">
      <c r="A27" s="54" t="s">
        <v>32</v>
      </c>
      <c r="B27" s="45" t="s">
        <v>33</v>
      </c>
      <c r="C27" s="14" t="e">
        <f>C15/C3</f>
        <v>#DIV/0!</v>
      </c>
      <c r="D27" s="14" t="e">
        <f aca="true" t="shared" si="8" ref="D27:N27">D15/D3</f>
        <v>#DIV/0!</v>
      </c>
      <c r="E27" s="14" t="e">
        <f t="shared" si="8"/>
        <v>#DIV/0!</v>
      </c>
      <c r="F27" s="14">
        <f t="shared" si="8"/>
        <v>65.81298955613578</v>
      </c>
      <c r="G27" s="14">
        <f t="shared" si="8"/>
        <v>34.03959464866217</v>
      </c>
      <c r="H27" s="14">
        <f t="shared" si="8"/>
        <v>37.32062439829476</v>
      </c>
      <c r="I27" s="14">
        <f t="shared" si="8"/>
        <v>42.46163616920152</v>
      </c>
      <c r="J27" s="14">
        <f t="shared" si="8"/>
        <v>44.22840469173641</v>
      </c>
      <c r="K27" s="14">
        <f t="shared" si="8"/>
        <v>38.68449670007333</v>
      </c>
      <c r="L27" s="14">
        <f t="shared" si="8"/>
        <v>38.4998964761159</v>
      </c>
      <c r="M27" s="14">
        <f t="shared" si="8"/>
        <v>838.7647058823529</v>
      </c>
      <c r="N27" s="14" t="e">
        <f t="shared" si="8"/>
        <v>#DIV/0!</v>
      </c>
      <c r="O27" s="14">
        <f>O15/O3</f>
        <v>41.73147925081235</v>
      </c>
      <c r="P27" s="14">
        <f>P15/P3</f>
        <v>43.09099552572707</v>
      </c>
      <c r="Q27" s="14">
        <v>41.215742508017584</v>
      </c>
      <c r="R27" s="14">
        <f>R15/R3</f>
        <v>45.45925340427028</v>
      </c>
      <c r="S27" s="14">
        <f>S15/S3</f>
        <v>46.30114147681523</v>
      </c>
      <c r="T27" s="14">
        <f>T15/T3</f>
        <v>46.21903257358628</v>
      </c>
      <c r="U27" s="55" t="s">
        <v>42</v>
      </c>
    </row>
    <row r="28" spans="1:21" s="18" customFormat="1" ht="16.5">
      <c r="A28" s="183" t="s">
        <v>84</v>
      </c>
      <c r="B28" s="210" t="s">
        <v>98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>
        <f aca="true" t="shared" si="9" ref="O28:T28">O18/O3</f>
        <v>0.8935824532900081</v>
      </c>
      <c r="P28" s="218">
        <f t="shared" si="9"/>
        <v>1.0067114093959733</v>
      </c>
      <c r="Q28" s="218">
        <f t="shared" si="9"/>
        <v>0.8314526665874807</v>
      </c>
      <c r="R28" s="218">
        <f t="shared" si="9"/>
        <v>2.125764642463731</v>
      </c>
      <c r="S28" s="218">
        <f t="shared" si="9"/>
        <v>2.024818831999242</v>
      </c>
      <c r="T28" s="218">
        <f t="shared" si="9"/>
        <v>0</v>
      </c>
      <c r="U28" s="219"/>
    </row>
    <row r="29" spans="1:21" s="18" customFormat="1" ht="16.5">
      <c r="A29" s="183" t="s">
        <v>96</v>
      </c>
      <c r="B29" s="210" t="s">
        <v>98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>
        <f aca="true" t="shared" si="10" ref="O29:T29">O19/O3</f>
        <v>0.30463038180341184</v>
      </c>
      <c r="P29" s="218">
        <f t="shared" si="10"/>
        <v>0.33557046979865773</v>
      </c>
      <c r="Q29" s="218">
        <f t="shared" si="10"/>
        <v>0.2573543968008869</v>
      </c>
      <c r="R29" s="218">
        <f t="shared" si="10"/>
        <v>1.1024913867860406</v>
      </c>
      <c r="S29" s="218">
        <f t="shared" si="10"/>
        <v>0.9472836640932127</v>
      </c>
      <c r="T29" s="218">
        <f t="shared" si="10"/>
        <v>0</v>
      </c>
      <c r="U29" s="219"/>
    </row>
    <row r="30" spans="1:21" s="18" customFormat="1" ht="16.5">
      <c r="A30" s="183" t="s">
        <v>95</v>
      </c>
      <c r="B30" s="210" t="s">
        <v>98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>
        <f aca="true" t="shared" si="11" ref="O30:T30">O20/O3</f>
        <v>0.12266450040617384</v>
      </c>
      <c r="P30" s="218">
        <f t="shared" si="11"/>
        <v>0.1476510067114094</v>
      </c>
      <c r="Q30" s="218">
        <f t="shared" si="11"/>
        <v>0.13639783030447006</v>
      </c>
      <c r="R30" s="218">
        <f t="shared" si="11"/>
        <v>0.14273325989640706</v>
      </c>
      <c r="S30" s="218">
        <f t="shared" si="11"/>
        <v>0.15985411831572965</v>
      </c>
      <c r="T30" s="218">
        <f t="shared" si="11"/>
        <v>0</v>
      </c>
      <c r="U30" s="219"/>
    </row>
    <row r="31" spans="1:21" s="18" customFormat="1" ht="16.5">
      <c r="A31" s="183" t="s">
        <v>94</v>
      </c>
      <c r="B31" s="210" t="s">
        <v>98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>
        <f aca="true" t="shared" si="12" ref="O31:T31">O21/O3</f>
        <v>0.025893582453290008</v>
      </c>
      <c r="P31" s="218">
        <f t="shared" si="12"/>
        <v>0.026845637583892617</v>
      </c>
      <c r="Q31" s="218">
        <f t="shared" si="12"/>
        <v>0.024270499267529794</v>
      </c>
      <c r="R31" s="218">
        <f t="shared" si="12"/>
        <v>0.02624979492347716</v>
      </c>
      <c r="S31" s="218">
        <f t="shared" si="12"/>
        <v>0.037417704731681906</v>
      </c>
      <c r="T31" s="218">
        <f t="shared" si="12"/>
        <v>0</v>
      </c>
      <c r="U31" s="219"/>
    </row>
    <row r="32" spans="1:21" s="18" customFormat="1" ht="17.25" thickBot="1">
      <c r="A32" s="59" t="s">
        <v>26</v>
      </c>
      <c r="B32" s="16" t="s">
        <v>27</v>
      </c>
      <c r="C32" s="17" t="e">
        <f aca="true" t="shared" si="13" ref="C32:O32">C22/C4</f>
        <v>#DIV/0!</v>
      </c>
      <c r="D32" s="17" t="e">
        <f t="shared" si="13"/>
        <v>#DIV/0!</v>
      </c>
      <c r="E32" s="17" t="e">
        <f t="shared" si="13"/>
        <v>#DIV/0!</v>
      </c>
      <c r="F32" s="17">
        <f t="shared" si="13"/>
        <v>0</v>
      </c>
      <c r="G32" s="17">
        <f t="shared" si="13"/>
        <v>0</v>
      </c>
      <c r="H32" s="17">
        <f t="shared" si="13"/>
        <v>0</v>
      </c>
      <c r="I32" s="17">
        <f t="shared" si="13"/>
        <v>0</v>
      </c>
      <c r="J32" s="17">
        <f t="shared" si="13"/>
        <v>0</v>
      </c>
      <c r="K32" s="17">
        <f t="shared" si="13"/>
        <v>0</v>
      </c>
      <c r="L32" s="17">
        <f t="shared" si="13"/>
        <v>0</v>
      </c>
      <c r="M32" s="17">
        <f t="shared" si="13"/>
        <v>0</v>
      </c>
      <c r="N32" s="17" t="e">
        <f t="shared" si="13"/>
        <v>#DIV/0!</v>
      </c>
      <c r="O32" s="17">
        <f t="shared" si="13"/>
        <v>0</v>
      </c>
      <c r="P32" s="17">
        <v>0</v>
      </c>
      <c r="Q32" s="84">
        <v>0</v>
      </c>
      <c r="R32" s="17">
        <v>0</v>
      </c>
      <c r="S32" s="17"/>
      <c r="T32" s="17">
        <v>0</v>
      </c>
      <c r="U32" s="60" t="s">
        <v>45</v>
      </c>
    </row>
    <row r="33" spans="1:22" ht="18.75">
      <c r="A33" s="63" t="s">
        <v>65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9"/>
      <c r="O33" s="29"/>
      <c r="P33" s="31"/>
      <c r="Q33" s="85"/>
      <c r="R33" s="31"/>
      <c r="S33" s="31"/>
      <c r="T33" s="72"/>
      <c r="U33" s="30"/>
      <c r="V33" s="18"/>
    </row>
    <row r="34" spans="1:22" s="18" customFormat="1" ht="15">
      <c r="A34" s="54" t="s">
        <v>17</v>
      </c>
      <c r="B34" s="2" t="s">
        <v>60</v>
      </c>
      <c r="C34" s="13" t="e">
        <f>C6/C4</f>
        <v>#DIV/0!</v>
      </c>
      <c r="D34" s="13" t="e">
        <f>D6/D4</f>
        <v>#DIV/0!</v>
      </c>
      <c r="E34" s="13" t="e">
        <f aca="true" t="shared" si="14" ref="E34:T34">E6/E4</f>
        <v>#DIV/0!</v>
      </c>
      <c r="F34" s="13">
        <f t="shared" si="14"/>
        <v>26.53122398001665</v>
      </c>
      <c r="G34" s="13">
        <f t="shared" si="14"/>
        <v>12.917679984558966</v>
      </c>
      <c r="H34" s="13">
        <f t="shared" si="14"/>
        <v>13.567352980756292</v>
      </c>
      <c r="I34" s="13">
        <f t="shared" si="14"/>
        <v>12.528815122176118</v>
      </c>
      <c r="J34" s="13">
        <f t="shared" si="14"/>
        <v>13.485675998696172</v>
      </c>
      <c r="K34" s="13">
        <f t="shared" si="14"/>
        <v>15.812818058144808</v>
      </c>
      <c r="L34" s="13">
        <f t="shared" si="14"/>
        <v>12.884089311780288</v>
      </c>
      <c r="M34" s="13">
        <f t="shared" si="14"/>
        <v>285.18</v>
      </c>
      <c r="N34" s="13" t="e">
        <f t="shared" si="14"/>
        <v>#DIV/0!</v>
      </c>
      <c r="O34" s="13">
        <f t="shared" si="14"/>
        <v>14.355407746038958</v>
      </c>
      <c r="P34" s="13">
        <f t="shared" si="14"/>
        <v>14.913072485381264</v>
      </c>
      <c r="Q34" s="13">
        <v>14.552040845431986</v>
      </c>
      <c r="R34" s="13">
        <f t="shared" si="14"/>
        <v>15.829670918640797</v>
      </c>
      <c r="S34" s="13">
        <f t="shared" si="14"/>
        <v>16.190658358530595</v>
      </c>
      <c r="T34" s="13">
        <f t="shared" si="14"/>
        <v>15.962911228956365</v>
      </c>
      <c r="U34" s="55" t="s">
        <v>36</v>
      </c>
      <c r="V34" s="19"/>
    </row>
    <row r="35" spans="1:22" s="18" customFormat="1" ht="16.5">
      <c r="A35" s="54" t="s">
        <v>19</v>
      </c>
      <c r="B35" s="1" t="s">
        <v>61</v>
      </c>
      <c r="C35" s="14" t="e">
        <f>C11/C4</f>
        <v>#DIV/0!</v>
      </c>
      <c r="D35" s="14" t="e">
        <f aca="true" t="shared" si="15" ref="D35:T35">D11/D4</f>
        <v>#DIV/0!</v>
      </c>
      <c r="E35" s="14" t="e">
        <f t="shared" si="15"/>
        <v>#DIV/0!</v>
      </c>
      <c r="F35" s="14">
        <f t="shared" si="15"/>
        <v>0.05800721620871496</v>
      </c>
      <c r="G35" s="14">
        <f t="shared" si="15"/>
        <v>0.02340281798880525</v>
      </c>
      <c r="H35" s="14">
        <f t="shared" si="15"/>
        <v>0.4362355896469744</v>
      </c>
      <c r="I35" s="14">
        <f t="shared" si="15"/>
        <v>0.36376210235131395</v>
      </c>
      <c r="J35" s="14">
        <f t="shared" si="15"/>
        <v>0.24548187316649162</v>
      </c>
      <c r="K35" s="14">
        <f t="shared" si="15"/>
        <v>0.007507431853680657</v>
      </c>
      <c r="L35" s="14">
        <f t="shared" si="15"/>
        <v>0.009623182137643942</v>
      </c>
      <c r="M35" s="14">
        <f t="shared" si="15"/>
        <v>0</v>
      </c>
      <c r="N35" s="14" t="e">
        <f t="shared" si="15"/>
        <v>#DIV/0!</v>
      </c>
      <c r="O35" s="14">
        <f t="shared" si="15"/>
        <v>0.2010335623828724</v>
      </c>
      <c r="P35" s="14">
        <f t="shared" si="15"/>
        <v>0.24645814528472196</v>
      </c>
      <c r="Q35" s="14">
        <v>0.24237713568555863</v>
      </c>
      <c r="R35" s="14">
        <f t="shared" si="15"/>
        <v>0.306529679988786</v>
      </c>
      <c r="S35" s="14">
        <f t="shared" si="15"/>
        <v>0.3919413307495698</v>
      </c>
      <c r="T35" s="14">
        <f t="shared" si="15"/>
        <v>0.4136855697312749</v>
      </c>
      <c r="U35" s="53" t="s">
        <v>38</v>
      </c>
      <c r="V35" s="19"/>
    </row>
    <row r="36" spans="1:21" s="18" customFormat="1" ht="16.5">
      <c r="A36" s="54" t="s">
        <v>21</v>
      </c>
      <c r="B36" s="1" t="s">
        <v>62</v>
      </c>
      <c r="C36" s="14" t="e">
        <f>C13/C4</f>
        <v>#DIV/0!</v>
      </c>
      <c r="D36" s="14" t="e">
        <f aca="true" t="shared" si="16" ref="D36:N36">D13/D4</f>
        <v>#DIV/0!</v>
      </c>
      <c r="E36" s="14" t="e">
        <f t="shared" si="16"/>
        <v>#DIV/0!</v>
      </c>
      <c r="F36" s="14">
        <f t="shared" si="16"/>
        <v>0.13877324451845685</v>
      </c>
      <c r="G36" s="14">
        <f t="shared" si="16"/>
        <v>0.0209419031075082</v>
      </c>
      <c r="H36" s="14">
        <f t="shared" si="16"/>
        <v>0.01690799802628628</v>
      </c>
      <c r="I36" s="14">
        <f t="shared" si="16"/>
        <v>0.013831258644536652</v>
      </c>
      <c r="J36" s="14">
        <f t="shared" si="16"/>
        <v>0.0098149288327116</v>
      </c>
      <c r="K36" s="14">
        <f t="shared" si="16"/>
        <v>0.012898674862699652</v>
      </c>
      <c r="L36" s="14">
        <f t="shared" si="16"/>
        <v>0.038763042655565766</v>
      </c>
      <c r="M36" s="14">
        <f t="shared" si="16"/>
        <v>0</v>
      </c>
      <c r="N36" s="14" t="e">
        <f t="shared" si="16"/>
        <v>#DIV/0!</v>
      </c>
      <c r="O36" s="14">
        <f>O13/O4</f>
        <v>0.02209757794309728</v>
      </c>
      <c r="P36" s="14">
        <f>P13/P4</f>
        <v>0.019622463796554294</v>
      </c>
      <c r="Q36" s="14">
        <v>0.028103696625688127</v>
      </c>
      <c r="R36" s="14">
        <f>R13/R4</f>
        <v>0.01562538651186952</v>
      </c>
      <c r="S36" s="14">
        <f>S13/S4</f>
        <v>0.028198660229531748</v>
      </c>
      <c r="T36" s="14">
        <f>T13/T4</f>
        <v>0.05140615736943405</v>
      </c>
      <c r="U36" s="53" t="s">
        <v>41</v>
      </c>
    </row>
    <row r="37" spans="1:21" s="18" customFormat="1" ht="16.5">
      <c r="A37" s="54" t="s">
        <v>32</v>
      </c>
      <c r="B37" s="45" t="s">
        <v>63</v>
      </c>
      <c r="C37" s="14" t="e">
        <f>C15/C4</f>
        <v>#DIV/0!</v>
      </c>
      <c r="D37" s="14" t="e">
        <f aca="true" t="shared" si="17" ref="D37:N37">D15/D4</f>
        <v>#DIV/0!</v>
      </c>
      <c r="E37" s="14" t="e">
        <f t="shared" si="17"/>
        <v>#DIV/0!</v>
      </c>
      <c r="F37" s="14">
        <f t="shared" si="17"/>
        <v>27.98376353039134</v>
      </c>
      <c r="G37" s="14">
        <f t="shared" si="17"/>
        <v>13.136878884385254</v>
      </c>
      <c r="H37" s="14">
        <f t="shared" si="17"/>
        <v>13.744328996097428</v>
      </c>
      <c r="I37" s="14">
        <f t="shared" si="17"/>
        <v>12.673586906408483</v>
      </c>
      <c r="J37" s="14">
        <f t="shared" si="17"/>
        <v>13.588408858788164</v>
      </c>
      <c r="K37" s="14">
        <f t="shared" si="17"/>
        <v>15.947828487932686</v>
      </c>
      <c r="L37" s="14">
        <f t="shared" si="17"/>
        <v>13.289822079256096</v>
      </c>
      <c r="M37" s="14">
        <f t="shared" si="17"/>
        <v>285.18</v>
      </c>
      <c r="N37" s="14" t="e">
        <f t="shared" si="17"/>
        <v>#DIV/0!</v>
      </c>
      <c r="O37" s="14">
        <f>O15/O4</f>
        <v>14.586703094369359</v>
      </c>
      <c r="P37" s="14">
        <f>P15/P4</f>
        <v>15.118460813939798</v>
      </c>
      <c r="Q37" s="14">
        <v>14.846202238013065</v>
      </c>
      <c r="R37" s="14">
        <f>R15/R4</f>
        <v>15.993221839260537</v>
      </c>
      <c r="S37" s="14">
        <f>S15/S4</f>
        <v>16.33043216785553</v>
      </c>
      <c r="T37" s="14">
        <f>T15/T4</f>
        <v>16.500979478142234</v>
      </c>
      <c r="U37" s="55" t="s">
        <v>42</v>
      </c>
    </row>
    <row r="38" spans="1:21" ht="16.5">
      <c r="A38" s="183" t="s">
        <v>84</v>
      </c>
      <c r="B38" s="210" t="s">
        <v>99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48">
        <f aca="true" t="shared" si="18" ref="O38:T38">O18/O4</f>
        <v>0.31234028053836105</v>
      </c>
      <c r="P38" s="148">
        <f t="shared" si="18"/>
        <v>0.3532043483379773</v>
      </c>
      <c r="Q38" s="148">
        <f t="shared" si="18"/>
        <v>0.2994951367694458</v>
      </c>
      <c r="R38" s="148">
        <f t="shared" si="18"/>
        <v>0.7478747000667892</v>
      </c>
      <c r="S38" s="148">
        <f t="shared" si="18"/>
        <v>0.7141544578272999</v>
      </c>
      <c r="T38" s="148">
        <f t="shared" si="18"/>
        <v>0</v>
      </c>
      <c r="U38" s="44"/>
    </row>
    <row r="39" spans="1:21" ht="16.5">
      <c r="A39" s="183" t="s">
        <v>96</v>
      </c>
      <c r="B39" s="210" t="s">
        <v>99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142"/>
      <c r="O39" s="228">
        <f aca="true" t="shared" si="19" ref="O39:T39">O19/O4</f>
        <v>0.10647964109262309</v>
      </c>
      <c r="P39" s="228">
        <f t="shared" si="19"/>
        <v>0.11773478277932577</v>
      </c>
      <c r="Q39" s="228">
        <f t="shared" si="19"/>
        <v>0.09270087566673323</v>
      </c>
      <c r="R39" s="228">
        <f t="shared" si="19"/>
        <v>0.3878723913025553</v>
      </c>
      <c r="S39" s="228">
        <f t="shared" si="19"/>
        <v>0.33410734869113445</v>
      </c>
      <c r="T39" s="228">
        <f t="shared" si="19"/>
        <v>0</v>
      </c>
      <c r="U39" s="142"/>
    </row>
    <row r="40" spans="1:21" ht="16.5">
      <c r="A40" s="183" t="s">
        <v>95</v>
      </c>
      <c r="B40" s="210" t="s">
        <v>99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48">
        <f aca="true" t="shared" si="20" ref="O40:T40">O20/O4</f>
        <v>0.04287580214662957</v>
      </c>
      <c r="P40" s="148">
        <f t="shared" si="20"/>
        <v>0.05180330442290334</v>
      </c>
      <c r="Q40" s="148">
        <f t="shared" si="20"/>
        <v>0.049131464103368605</v>
      </c>
      <c r="R40" s="148">
        <f t="shared" si="20"/>
        <v>0.05021562208827725</v>
      </c>
      <c r="S40" s="148">
        <f t="shared" si="20"/>
        <v>0.05638061509162894</v>
      </c>
      <c r="T40" s="148">
        <f t="shared" si="20"/>
        <v>0</v>
      </c>
      <c r="U40" s="44"/>
    </row>
    <row r="41" spans="1:21" ht="16.5">
      <c r="A41" s="183" t="s">
        <v>94</v>
      </c>
      <c r="B41" s="210" t="s">
        <v>99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148">
        <f aca="true" t="shared" si="21" ref="O41:T41">O21/O4</f>
        <v>0.009050769492872963</v>
      </c>
      <c r="P41" s="148">
        <f t="shared" si="21"/>
        <v>0.009418782622346062</v>
      </c>
      <c r="Q41" s="148">
        <f t="shared" si="21"/>
        <v>0.008742405659031918</v>
      </c>
      <c r="R41" s="148">
        <f t="shared" si="21"/>
        <v>0.009235056935775126</v>
      </c>
      <c r="S41" s="148">
        <f t="shared" si="21"/>
        <v>0.01319724027329981</v>
      </c>
      <c r="T41" s="148">
        <f t="shared" si="21"/>
        <v>0</v>
      </c>
      <c r="U41" s="44"/>
    </row>
  </sheetData>
  <sheetProtection/>
  <mergeCells count="2">
    <mergeCell ref="A1:O1"/>
    <mergeCell ref="B3:B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6">
      <selection activeCell="P18" sqref="P18:P21"/>
    </sheetView>
  </sheetViews>
  <sheetFormatPr defaultColWidth="9.140625" defaultRowHeight="15"/>
  <cols>
    <col min="1" max="1" width="17.421875" style="33" customWidth="1"/>
    <col min="2" max="2" width="7.7109375" style="34" customWidth="1"/>
    <col min="3" max="5" width="7.28125" style="35" bestFit="1" customWidth="1"/>
    <col min="6" max="9" width="8.00390625" style="35" bestFit="1" customWidth="1"/>
    <col min="10" max="10" width="9.57421875" style="35" customWidth="1"/>
    <col min="11" max="11" width="9.140625" style="35" customWidth="1"/>
    <col min="12" max="12" width="8.7109375" style="35" customWidth="1"/>
    <col min="13" max="13" width="7.8515625" style="35" customWidth="1"/>
    <col min="14" max="14" width="9.57421875" style="35" customWidth="1"/>
    <col min="15" max="15" width="10.28125" style="35" bestFit="1" customWidth="1"/>
    <col min="16" max="18" width="11.00390625" style="66" customWidth="1"/>
    <col min="19" max="19" width="10.57421875" style="66" customWidth="1"/>
    <col min="20" max="20" width="19.28125" style="36" customWidth="1"/>
    <col min="21" max="21" width="10.00390625" style="32" bestFit="1" customWidth="1"/>
    <col min="22" max="16384" width="9.140625" style="32" customWidth="1"/>
  </cols>
  <sheetData>
    <row r="1" spans="1:21" s="18" customFormat="1" ht="18">
      <c r="A1" s="236" t="s">
        <v>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51"/>
      <c r="Q1" s="51"/>
      <c r="R1" s="51"/>
      <c r="S1" s="68"/>
      <c r="T1" s="52"/>
      <c r="U1" s="19"/>
    </row>
    <row r="2" spans="1:20" s="18" customFormat="1" ht="24.75" customHeight="1">
      <c r="A2" s="61" t="s">
        <v>59</v>
      </c>
      <c r="B2" s="1" t="s">
        <v>0</v>
      </c>
      <c r="C2" s="38" t="s">
        <v>1</v>
      </c>
      <c r="D2" s="38" t="s">
        <v>2</v>
      </c>
      <c r="E2" s="38" t="s">
        <v>3</v>
      </c>
      <c r="F2" s="39" t="s">
        <v>4</v>
      </c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  <c r="L2" s="39" t="s">
        <v>10</v>
      </c>
      <c r="M2" s="39" t="s">
        <v>11</v>
      </c>
      <c r="N2" s="39" t="s">
        <v>12</v>
      </c>
      <c r="O2" s="62" t="s">
        <v>57</v>
      </c>
      <c r="P2" s="62" t="s">
        <v>56</v>
      </c>
      <c r="Q2" s="20" t="s">
        <v>58</v>
      </c>
      <c r="R2" s="20" t="s">
        <v>55</v>
      </c>
      <c r="S2" s="20" t="s">
        <v>44</v>
      </c>
      <c r="T2" s="53"/>
    </row>
    <row r="3" spans="1:21" s="18" customFormat="1" ht="16.5">
      <c r="A3" s="54" t="s">
        <v>13</v>
      </c>
      <c r="B3" s="238" t="s">
        <v>14</v>
      </c>
      <c r="C3" s="3">
        <v>0</v>
      </c>
      <c r="D3" s="3">
        <v>0</v>
      </c>
      <c r="E3" s="3">
        <v>0</v>
      </c>
      <c r="F3" s="3">
        <v>2470</v>
      </c>
      <c r="G3" s="3">
        <v>7688</v>
      </c>
      <c r="H3" s="3">
        <v>8091</v>
      </c>
      <c r="I3" s="4">
        <v>8435</v>
      </c>
      <c r="J3" s="3">
        <v>8440</v>
      </c>
      <c r="K3" s="3">
        <v>8107</v>
      </c>
      <c r="L3" s="3">
        <v>6969</v>
      </c>
      <c r="M3" s="3">
        <v>314</v>
      </c>
      <c r="N3" s="3"/>
      <c r="O3" s="40">
        <f>SUM(C3:N3)</f>
        <v>50514</v>
      </c>
      <c r="P3" s="21">
        <v>44700</v>
      </c>
      <c r="Q3" s="21">
        <v>42667</v>
      </c>
      <c r="R3" s="21">
        <f>'ATLANTICA MIKRI POLI CRETE 2015'!O3</f>
        <v>42226</v>
      </c>
      <c r="S3" s="69">
        <v>43962</v>
      </c>
      <c r="T3" s="53"/>
      <c r="U3" s="19"/>
    </row>
    <row r="4" spans="1:21" s="18" customFormat="1" ht="16.5">
      <c r="A4" s="54" t="s">
        <v>15</v>
      </c>
      <c r="B4" s="238"/>
      <c r="C4" s="3">
        <v>0</v>
      </c>
      <c r="D4" s="3">
        <v>0</v>
      </c>
      <c r="E4" s="3">
        <v>0</v>
      </c>
      <c r="F4" s="3">
        <v>6071</v>
      </c>
      <c r="G4" s="3">
        <v>18308</v>
      </c>
      <c r="H4" s="3">
        <v>22695</v>
      </c>
      <c r="I4" s="4">
        <v>27702</v>
      </c>
      <c r="J4" s="3">
        <v>27274</v>
      </c>
      <c r="K4" s="3">
        <v>18772</v>
      </c>
      <c r="L4" s="3">
        <v>18558</v>
      </c>
      <c r="M4" s="3">
        <v>856</v>
      </c>
      <c r="N4" s="3"/>
      <c r="O4" s="40">
        <f>SUM(C4:N4)</f>
        <v>140236</v>
      </c>
      <c r="P4" s="21">
        <v>127405</v>
      </c>
      <c r="Q4" s="21">
        <v>121277</v>
      </c>
      <c r="R4" s="21">
        <f>'ATLANTICA MIKRI POLI CRETE 2015'!O4</f>
        <v>119722</v>
      </c>
      <c r="S4" s="69">
        <v>123137</v>
      </c>
      <c r="T4" s="53"/>
      <c r="U4" s="19"/>
    </row>
    <row r="5" spans="1:21" s="18" customFormat="1" ht="16.5">
      <c r="A5" s="63" t="s">
        <v>16</v>
      </c>
      <c r="B5" s="41"/>
      <c r="C5" s="3"/>
      <c r="D5" s="3"/>
      <c r="E5" s="3"/>
      <c r="F5" s="42"/>
      <c r="G5" s="42"/>
      <c r="H5" s="42"/>
      <c r="I5" s="42"/>
      <c r="J5" s="42"/>
      <c r="K5" s="42"/>
      <c r="L5" s="42"/>
      <c r="M5" s="42"/>
      <c r="N5" s="43"/>
      <c r="O5" s="44"/>
      <c r="P5" s="65"/>
      <c r="Q5" s="65"/>
      <c r="R5" s="65"/>
      <c r="S5" s="65"/>
      <c r="T5" s="53"/>
      <c r="U5" s="19"/>
    </row>
    <row r="6" spans="1:21" s="25" customFormat="1" ht="15">
      <c r="A6" s="54" t="s">
        <v>17</v>
      </c>
      <c r="B6" s="45" t="s">
        <v>18</v>
      </c>
      <c r="C6" s="5">
        <v>18732</v>
      </c>
      <c r="D6" s="5">
        <v>19095</v>
      </c>
      <c r="E6" s="5">
        <v>23737</v>
      </c>
      <c r="F6" s="5">
        <v>164914</v>
      </c>
      <c r="G6" s="5">
        <v>235286</v>
      </c>
      <c r="H6" s="5">
        <v>286636</v>
      </c>
      <c r="I6" s="5">
        <v>350323</v>
      </c>
      <c r="J6" s="6">
        <v>348163</v>
      </c>
      <c r="K6" s="6">
        <v>291801</v>
      </c>
      <c r="L6" s="6">
        <v>243352</v>
      </c>
      <c r="M6" s="6">
        <v>47316</v>
      </c>
      <c r="N6" s="6">
        <v>11365</v>
      </c>
      <c r="O6" s="6">
        <f aca="true" t="shared" si="0" ref="O6:O11">SUM(C6:N6)</f>
        <v>2040720</v>
      </c>
      <c r="P6" s="23">
        <v>1900000</v>
      </c>
      <c r="Q6" s="23">
        <v>1919775</v>
      </c>
      <c r="R6" s="23">
        <f>'ATLANTICA MIKRI POLI CRETE 2015'!O6</f>
        <v>1938378</v>
      </c>
      <c r="S6" s="23">
        <v>1965625</v>
      </c>
      <c r="T6" s="53" t="s">
        <v>36</v>
      </c>
      <c r="U6" s="24">
        <f>P6/P3</f>
        <v>42.50559284116331</v>
      </c>
    </row>
    <row r="7" spans="1:21" s="25" customFormat="1" ht="15">
      <c r="A7" s="54" t="s">
        <v>17</v>
      </c>
      <c r="B7" s="45" t="s">
        <v>30</v>
      </c>
      <c r="C7" s="7">
        <v>2415</v>
      </c>
      <c r="D7" s="7">
        <v>2065</v>
      </c>
      <c r="E7" s="7">
        <v>2789</v>
      </c>
      <c r="F7" s="7">
        <v>18955</v>
      </c>
      <c r="G7" s="7">
        <v>24509</v>
      </c>
      <c r="H7" s="7">
        <v>30605</v>
      </c>
      <c r="I7" s="7">
        <v>39847</v>
      </c>
      <c r="J7" s="8">
        <v>35863</v>
      </c>
      <c r="K7" s="8">
        <v>30268</v>
      </c>
      <c r="L7" s="8">
        <v>27918</v>
      </c>
      <c r="M7" s="8">
        <v>8273</v>
      </c>
      <c r="N7" s="8">
        <v>1315</v>
      </c>
      <c r="O7" s="6">
        <f t="shared" si="0"/>
        <v>224822</v>
      </c>
      <c r="P7" s="23">
        <v>200000</v>
      </c>
      <c r="Q7" s="23">
        <v>207617</v>
      </c>
      <c r="R7" s="23">
        <f>'ATLANTICA MIKRI POLI CRETE 2015'!O7</f>
        <v>243776</v>
      </c>
      <c r="S7" s="23">
        <v>252347</v>
      </c>
      <c r="T7" s="53" t="s">
        <v>36</v>
      </c>
      <c r="U7" s="24">
        <f>P6/P4</f>
        <v>14.913072485381264</v>
      </c>
    </row>
    <row r="8" spans="1:21" s="25" customFormat="1" ht="15">
      <c r="A8" s="64" t="s">
        <v>31</v>
      </c>
      <c r="B8" s="45" t="s">
        <v>30</v>
      </c>
      <c r="C8" s="7">
        <v>1700</v>
      </c>
      <c r="D8" s="7">
        <v>2000</v>
      </c>
      <c r="E8" s="7">
        <v>2500</v>
      </c>
      <c r="F8" s="7">
        <v>2300</v>
      </c>
      <c r="G8" s="7">
        <v>29440</v>
      </c>
      <c r="H8" s="7">
        <v>34500</v>
      </c>
      <c r="I8" s="7">
        <v>37030</v>
      </c>
      <c r="J8" s="8">
        <v>37030</v>
      </c>
      <c r="K8" s="8">
        <v>35650</v>
      </c>
      <c r="L8" s="8">
        <v>29670</v>
      </c>
      <c r="M8" s="8">
        <v>2000</v>
      </c>
      <c r="N8" s="8">
        <v>1500</v>
      </c>
      <c r="O8" s="8">
        <f t="shared" si="0"/>
        <v>215320</v>
      </c>
      <c r="P8" s="26">
        <v>215320</v>
      </c>
      <c r="Q8" s="26">
        <v>243656</v>
      </c>
      <c r="R8" s="26">
        <f>'ATLANTICA MIKRI POLI CRETE 2015'!O8</f>
        <v>227425</v>
      </c>
      <c r="S8" s="26">
        <v>250000</v>
      </c>
      <c r="T8" s="53" t="s">
        <v>36</v>
      </c>
      <c r="U8" s="24"/>
    </row>
    <row r="9" spans="1:21" s="25" customFormat="1" ht="15">
      <c r="A9" s="54" t="s">
        <v>48</v>
      </c>
      <c r="B9" s="46" t="s">
        <v>20</v>
      </c>
      <c r="C9" s="9">
        <v>200</v>
      </c>
      <c r="D9" s="9">
        <v>210</v>
      </c>
      <c r="E9" s="9">
        <v>385</v>
      </c>
      <c r="F9" s="9">
        <v>3003</v>
      </c>
      <c r="G9" s="9">
        <v>4230</v>
      </c>
      <c r="H9" s="9">
        <v>5298</v>
      </c>
      <c r="I9" s="9">
        <v>5500</v>
      </c>
      <c r="J9" s="9">
        <v>6078</v>
      </c>
      <c r="K9" s="9">
        <v>2059</v>
      </c>
      <c r="L9" s="9">
        <v>4893</v>
      </c>
      <c r="M9" s="27">
        <v>57</v>
      </c>
      <c r="N9" s="27">
        <v>0</v>
      </c>
      <c r="O9" s="21">
        <f t="shared" si="0"/>
        <v>31913</v>
      </c>
      <c r="P9" s="21">
        <v>30000</v>
      </c>
      <c r="Q9" s="21">
        <v>34637</v>
      </c>
      <c r="R9" s="21">
        <f>'ATLANTICA MIKRI POLI CRETE 2015'!O9</f>
        <v>43354</v>
      </c>
      <c r="S9" s="69">
        <v>49194</v>
      </c>
      <c r="T9" s="55" t="s">
        <v>37</v>
      </c>
      <c r="U9" s="24">
        <f>P11/P3</f>
        <v>0.7024608501118568</v>
      </c>
    </row>
    <row r="10" spans="1:21" s="25" customFormat="1" ht="15">
      <c r="A10" s="54" t="s">
        <v>49</v>
      </c>
      <c r="B10" s="46" t="s">
        <v>20</v>
      </c>
      <c r="C10" s="9">
        <v>100</v>
      </c>
      <c r="D10" s="9">
        <v>190</v>
      </c>
      <c r="E10" s="9">
        <v>254</v>
      </c>
      <c r="F10" s="9">
        <v>46</v>
      </c>
      <c r="G10" s="9">
        <v>135</v>
      </c>
      <c r="H10" s="9">
        <v>245</v>
      </c>
      <c r="I10" s="9">
        <v>187</v>
      </c>
      <c r="J10" s="9">
        <v>359</v>
      </c>
      <c r="K10" s="9">
        <v>147</v>
      </c>
      <c r="L10" s="9">
        <v>0</v>
      </c>
      <c r="M10" s="27">
        <v>196</v>
      </c>
      <c r="N10" s="27">
        <v>218</v>
      </c>
      <c r="O10" s="21">
        <f t="shared" si="0"/>
        <v>2077</v>
      </c>
      <c r="P10" s="21">
        <v>1400</v>
      </c>
      <c r="Q10" s="21">
        <v>2538</v>
      </c>
      <c r="R10" s="21">
        <v>3570</v>
      </c>
      <c r="S10" s="69">
        <v>1747</v>
      </c>
      <c r="T10" s="55" t="s">
        <v>38</v>
      </c>
      <c r="U10" s="24">
        <f>P11/P4</f>
        <v>0.24645814528472196</v>
      </c>
    </row>
    <row r="11" spans="1:21" s="25" customFormat="1" ht="15">
      <c r="A11" s="54" t="s">
        <v>50</v>
      </c>
      <c r="B11" s="47" t="s">
        <v>20</v>
      </c>
      <c r="C11" s="10">
        <f>SUM(C9:C10)</f>
        <v>300</v>
      </c>
      <c r="D11" s="10">
        <f aca="true" t="shared" si="1" ref="D11:N11">SUM(D9:D10)</f>
        <v>400</v>
      </c>
      <c r="E11" s="10">
        <f t="shared" si="1"/>
        <v>639</v>
      </c>
      <c r="F11" s="10">
        <f t="shared" si="1"/>
        <v>3049</v>
      </c>
      <c r="G11" s="10">
        <f t="shared" si="1"/>
        <v>4365</v>
      </c>
      <c r="H11" s="10">
        <f t="shared" si="1"/>
        <v>5543</v>
      </c>
      <c r="I11" s="10">
        <f t="shared" si="1"/>
        <v>5687</v>
      </c>
      <c r="J11" s="10">
        <f t="shared" si="1"/>
        <v>6437</v>
      </c>
      <c r="K11" s="10">
        <f t="shared" si="1"/>
        <v>2206</v>
      </c>
      <c r="L11" s="10">
        <f t="shared" si="1"/>
        <v>4893</v>
      </c>
      <c r="M11" s="10">
        <f t="shared" si="1"/>
        <v>253</v>
      </c>
      <c r="N11" s="10">
        <f t="shared" si="1"/>
        <v>218</v>
      </c>
      <c r="O11" s="48">
        <f t="shared" si="0"/>
        <v>33990</v>
      </c>
      <c r="P11" s="21">
        <f>SUM(P9:P10)</f>
        <v>31400</v>
      </c>
      <c r="Q11" s="21">
        <v>37175</v>
      </c>
      <c r="R11" s="21">
        <v>46924</v>
      </c>
      <c r="S11" s="69">
        <v>50940</v>
      </c>
      <c r="T11" s="56" t="s">
        <v>39</v>
      </c>
      <c r="U11" s="24"/>
    </row>
    <row r="12" spans="1:21" s="25" customFormat="1" ht="15">
      <c r="A12" s="64" t="s">
        <v>34</v>
      </c>
      <c r="B12" s="46" t="s">
        <v>30</v>
      </c>
      <c r="C12" s="9">
        <v>0</v>
      </c>
      <c r="D12" s="9">
        <v>0</v>
      </c>
      <c r="E12" s="11">
        <v>0</v>
      </c>
      <c r="F12" s="11">
        <v>240</v>
      </c>
      <c r="G12" s="11">
        <v>3018</v>
      </c>
      <c r="H12" s="11">
        <v>3551</v>
      </c>
      <c r="I12" s="11">
        <v>4796</v>
      </c>
      <c r="J12" s="11">
        <v>4796</v>
      </c>
      <c r="K12" s="9">
        <v>3292</v>
      </c>
      <c r="L12" s="9">
        <v>3239</v>
      </c>
      <c r="M12" s="27">
        <v>0</v>
      </c>
      <c r="N12" s="27">
        <v>0</v>
      </c>
      <c r="O12" s="11">
        <f aca="true" t="shared" si="2" ref="O12:O17">SUM(C12:N12)</f>
        <v>22932</v>
      </c>
      <c r="P12" s="26">
        <v>22932</v>
      </c>
      <c r="Q12" s="26">
        <v>22326</v>
      </c>
      <c r="R12" s="26">
        <v>23592</v>
      </c>
      <c r="S12" s="26">
        <v>25000</v>
      </c>
      <c r="T12" s="55" t="s">
        <v>40</v>
      </c>
      <c r="U12" s="24"/>
    </row>
    <row r="13" spans="1:21" s="25" customFormat="1" ht="15">
      <c r="A13" s="54" t="s">
        <v>21</v>
      </c>
      <c r="B13" s="46" t="s">
        <v>22</v>
      </c>
      <c r="C13" s="9">
        <v>60.46</v>
      </c>
      <c r="D13" s="9">
        <v>97.37</v>
      </c>
      <c r="E13" s="9">
        <v>247.01</v>
      </c>
      <c r="F13" s="9">
        <f>358+135.74</f>
        <v>493.74</v>
      </c>
      <c r="G13" s="9">
        <f>250+207.57</f>
        <v>457.57</v>
      </c>
      <c r="H13" s="9">
        <f>211+200</f>
        <v>411</v>
      </c>
      <c r="I13" s="9">
        <f>271+150</f>
        <v>421</v>
      </c>
      <c r="J13" s="9">
        <f>259+300</f>
        <v>559</v>
      </c>
      <c r="K13" s="9">
        <f>195+250</f>
        <v>445</v>
      </c>
      <c r="L13" s="9">
        <v>370</v>
      </c>
      <c r="M13" s="9">
        <v>363</v>
      </c>
      <c r="N13" s="9">
        <v>16</v>
      </c>
      <c r="O13" s="21">
        <f t="shared" si="2"/>
        <v>3941.15</v>
      </c>
      <c r="P13" s="21">
        <v>2000</v>
      </c>
      <c r="Q13" s="21">
        <v>1895</v>
      </c>
      <c r="R13" s="21">
        <v>3376</v>
      </c>
      <c r="S13" s="69">
        <v>6330</v>
      </c>
      <c r="T13" s="55" t="s">
        <v>41</v>
      </c>
      <c r="U13" s="24"/>
    </row>
    <row r="14" spans="1:21" s="25" customFormat="1" ht="15">
      <c r="A14" s="54" t="s">
        <v>21</v>
      </c>
      <c r="B14" s="46" t="s">
        <v>18</v>
      </c>
      <c r="C14" s="9">
        <f>C13*10.467</f>
        <v>632.83482</v>
      </c>
      <c r="D14" s="9">
        <f>D13*10.467</f>
        <v>1019.1717900000001</v>
      </c>
      <c r="E14" s="9">
        <f>E13*10.467</f>
        <v>2585.45367</v>
      </c>
      <c r="F14" s="9">
        <f>F13*10.467</f>
        <v>5167.9765800000005</v>
      </c>
      <c r="G14" s="9">
        <f aca="true" t="shared" si="3" ref="G14:N14">G13*10.467</f>
        <v>4789.38519</v>
      </c>
      <c r="H14" s="9">
        <f t="shared" si="3"/>
        <v>4301.937</v>
      </c>
      <c r="I14" s="9">
        <f t="shared" si="3"/>
        <v>4406.607</v>
      </c>
      <c r="J14" s="9">
        <f t="shared" si="3"/>
        <v>5851.053</v>
      </c>
      <c r="K14" s="9">
        <f t="shared" si="3"/>
        <v>4657.8150000000005</v>
      </c>
      <c r="L14" s="9">
        <f t="shared" si="3"/>
        <v>3872.7900000000004</v>
      </c>
      <c r="M14" s="9">
        <f t="shared" si="3"/>
        <v>3799.521</v>
      </c>
      <c r="N14" s="9">
        <f t="shared" si="3"/>
        <v>167.472</v>
      </c>
      <c r="O14" s="21">
        <f t="shared" si="2"/>
        <v>41252.01705</v>
      </c>
      <c r="P14" s="21">
        <v>19000</v>
      </c>
      <c r="Q14" s="21">
        <v>19834.965000000004</v>
      </c>
      <c r="R14" s="21">
        <v>35337</v>
      </c>
      <c r="S14" s="69">
        <f>S13*10.467</f>
        <v>66256.11</v>
      </c>
      <c r="T14" s="55"/>
      <c r="U14" s="24"/>
    </row>
    <row r="15" spans="1:21" s="25" customFormat="1" ht="15">
      <c r="A15" s="54" t="s">
        <v>32</v>
      </c>
      <c r="B15" s="46" t="s">
        <v>18</v>
      </c>
      <c r="C15" s="9">
        <f>C6+C14</f>
        <v>19364.83482</v>
      </c>
      <c r="D15" s="9">
        <f aca="true" t="shared" si="4" ref="D15:N15">D6+D14</f>
        <v>20114.17179</v>
      </c>
      <c r="E15" s="9">
        <f t="shared" si="4"/>
        <v>26322.45367</v>
      </c>
      <c r="F15" s="9">
        <f t="shared" si="4"/>
        <v>170081.97658</v>
      </c>
      <c r="G15" s="9">
        <f t="shared" si="4"/>
        <v>240075.38519</v>
      </c>
      <c r="H15" s="9">
        <f t="shared" si="4"/>
        <v>290937.937</v>
      </c>
      <c r="I15" s="9">
        <f t="shared" si="4"/>
        <v>354729.607</v>
      </c>
      <c r="J15" s="9">
        <f t="shared" si="4"/>
        <v>354014.053</v>
      </c>
      <c r="K15" s="9">
        <f t="shared" si="4"/>
        <v>296458.815</v>
      </c>
      <c r="L15" s="9">
        <f t="shared" si="4"/>
        <v>247224.79</v>
      </c>
      <c r="M15" s="9">
        <f t="shared" si="4"/>
        <v>51115.521</v>
      </c>
      <c r="N15" s="9">
        <f t="shared" si="4"/>
        <v>11532.472</v>
      </c>
      <c r="O15" s="21">
        <f t="shared" si="2"/>
        <v>2081972.0170500001</v>
      </c>
      <c r="P15" s="21">
        <f>P14+P6</f>
        <v>1919000</v>
      </c>
      <c r="Q15" s="21">
        <v>1939609.965</v>
      </c>
      <c r="R15" s="21">
        <v>1955112</v>
      </c>
      <c r="S15" s="69">
        <f>S14+S6</f>
        <v>2031881.11</v>
      </c>
      <c r="T15" s="55"/>
      <c r="U15" s="24"/>
    </row>
    <row r="16" spans="1:21" s="79" customFormat="1" ht="15">
      <c r="A16" s="73" t="s">
        <v>21</v>
      </c>
      <c r="B16" s="74" t="s">
        <v>30</v>
      </c>
      <c r="C16" s="75">
        <f>C13*1.07</f>
        <v>64.6922</v>
      </c>
      <c r="D16" s="75">
        <f>D13*1.07</f>
        <v>104.18590000000002</v>
      </c>
      <c r="E16" s="75">
        <f>E13*1.07</f>
        <v>264.3007</v>
      </c>
      <c r="F16" s="75">
        <f>F13*1.07</f>
        <v>528.3018000000001</v>
      </c>
      <c r="G16" s="75">
        <f>G13*1.07</f>
        <v>489.59990000000005</v>
      </c>
      <c r="H16" s="75">
        <f aca="true" t="shared" si="5" ref="H16:N16">H13*1.07</f>
        <v>439.77000000000004</v>
      </c>
      <c r="I16" s="75">
        <f t="shared" si="5"/>
        <v>450.47</v>
      </c>
      <c r="J16" s="75">
        <f t="shared" si="5"/>
        <v>598.13</v>
      </c>
      <c r="K16" s="75">
        <f t="shared" si="5"/>
        <v>476.15000000000003</v>
      </c>
      <c r="L16" s="75">
        <f t="shared" si="5"/>
        <v>395.90000000000003</v>
      </c>
      <c r="M16" s="75">
        <f t="shared" si="5"/>
        <v>388.41</v>
      </c>
      <c r="N16" s="75">
        <f t="shared" si="5"/>
        <v>17.12</v>
      </c>
      <c r="O16" s="76">
        <f t="shared" si="2"/>
        <v>4217.0305</v>
      </c>
      <c r="P16" s="76">
        <v>1700</v>
      </c>
      <c r="Q16" s="76">
        <v>1781.3</v>
      </c>
      <c r="R16" s="76">
        <v>3511.04</v>
      </c>
      <c r="S16" s="77">
        <v>8900</v>
      </c>
      <c r="T16" s="55"/>
      <c r="U16" s="78"/>
    </row>
    <row r="17" spans="1:21" s="25" customFormat="1" ht="15">
      <c r="A17" s="64" t="s">
        <v>51</v>
      </c>
      <c r="B17" s="46" t="s">
        <v>30</v>
      </c>
      <c r="C17" s="9">
        <v>0</v>
      </c>
      <c r="D17" s="9">
        <v>0</v>
      </c>
      <c r="E17" s="9">
        <v>0</v>
      </c>
      <c r="F17" s="11">
        <v>35</v>
      </c>
      <c r="G17" s="11">
        <v>448</v>
      </c>
      <c r="H17" s="11">
        <v>525</v>
      </c>
      <c r="I17" s="11">
        <v>564</v>
      </c>
      <c r="J17" s="11">
        <v>564</v>
      </c>
      <c r="K17" s="11">
        <v>543</v>
      </c>
      <c r="L17" s="11">
        <v>452</v>
      </c>
      <c r="M17" s="9">
        <v>0</v>
      </c>
      <c r="N17" s="9">
        <v>0</v>
      </c>
      <c r="O17" s="67">
        <f t="shared" si="2"/>
        <v>3131</v>
      </c>
      <c r="P17" s="67">
        <v>3131</v>
      </c>
      <c r="Q17" s="67">
        <v>4830</v>
      </c>
      <c r="R17" s="67">
        <v>7500</v>
      </c>
      <c r="S17" s="70">
        <v>8900</v>
      </c>
      <c r="T17" s="55"/>
      <c r="U17" s="24"/>
    </row>
    <row r="18" spans="1:21" s="216" customFormat="1" ht="15">
      <c r="A18" s="183" t="s">
        <v>84</v>
      </c>
      <c r="B18" s="210" t="s">
        <v>93</v>
      </c>
      <c r="C18" s="211"/>
      <c r="D18" s="211"/>
      <c r="E18" s="211"/>
      <c r="F18" s="212"/>
      <c r="G18" s="212"/>
      <c r="H18" s="212"/>
      <c r="I18" s="212"/>
      <c r="J18" s="212"/>
      <c r="K18" s="212"/>
      <c r="L18" s="212"/>
      <c r="M18" s="211"/>
      <c r="N18" s="184">
        <v>42000</v>
      </c>
      <c r="O18" s="184">
        <v>42000</v>
      </c>
      <c r="P18" s="185">
        <v>80000</v>
      </c>
      <c r="Q18" s="140">
        <f>SUM(E18:P18)</f>
        <v>164000</v>
      </c>
      <c r="R18" s="141">
        <v>85500</v>
      </c>
      <c r="S18" s="213">
        <v>0</v>
      </c>
      <c r="T18" s="214"/>
      <c r="U18" s="215"/>
    </row>
    <row r="19" spans="1:21" s="25" customFormat="1" ht="15">
      <c r="A19" s="183" t="s">
        <v>96</v>
      </c>
      <c r="B19" s="210" t="s">
        <v>93</v>
      </c>
      <c r="C19" s="9"/>
      <c r="D19" s="9"/>
      <c r="E19" s="9"/>
      <c r="F19" s="11"/>
      <c r="G19" s="11"/>
      <c r="H19" s="11"/>
      <c r="I19" s="11"/>
      <c r="J19" s="11"/>
      <c r="K19" s="11"/>
      <c r="L19" s="11"/>
      <c r="M19" s="9"/>
      <c r="N19" s="184">
        <v>13000</v>
      </c>
      <c r="O19" s="184">
        <v>13000</v>
      </c>
      <c r="P19" s="185">
        <v>35000</v>
      </c>
      <c r="Q19" s="140">
        <f>SUM(E19:P19)</f>
        <v>61000</v>
      </c>
      <c r="R19" s="141">
        <v>40000</v>
      </c>
      <c r="S19" s="70">
        <v>0</v>
      </c>
      <c r="T19" s="55"/>
      <c r="U19" s="24"/>
    </row>
    <row r="20" spans="1:21" s="25" customFormat="1" ht="15">
      <c r="A20" s="183" t="s">
        <v>95</v>
      </c>
      <c r="B20" s="210" t="s">
        <v>93</v>
      </c>
      <c r="C20" s="9"/>
      <c r="D20" s="9"/>
      <c r="E20" s="9"/>
      <c r="F20" s="11"/>
      <c r="G20" s="11"/>
      <c r="H20" s="11"/>
      <c r="I20" s="11"/>
      <c r="J20" s="11"/>
      <c r="K20" s="11"/>
      <c r="L20" s="11"/>
      <c r="M20" s="9"/>
      <c r="N20" s="184">
        <v>6890</v>
      </c>
      <c r="O20" s="184">
        <v>6890</v>
      </c>
      <c r="P20" s="185">
        <v>6600</v>
      </c>
      <c r="Q20" s="140">
        <f>SUM(E20:P20)</f>
        <v>20380</v>
      </c>
      <c r="R20" s="141">
        <v>6750</v>
      </c>
      <c r="S20" s="70">
        <v>0</v>
      </c>
      <c r="T20" s="55"/>
      <c r="U20" s="24"/>
    </row>
    <row r="21" spans="1:21" s="25" customFormat="1" ht="15">
      <c r="A21" s="183" t="s">
        <v>94</v>
      </c>
      <c r="B21" s="210" t="s">
        <v>93</v>
      </c>
      <c r="C21" s="9"/>
      <c r="D21" s="9"/>
      <c r="E21" s="9"/>
      <c r="F21" s="11"/>
      <c r="G21" s="11"/>
      <c r="H21" s="11"/>
      <c r="I21" s="11"/>
      <c r="J21" s="11"/>
      <c r="K21" s="11"/>
      <c r="L21" s="11"/>
      <c r="M21" s="9"/>
      <c r="N21" s="184">
        <v>1226</v>
      </c>
      <c r="O21" s="184">
        <v>1226</v>
      </c>
      <c r="P21" s="185">
        <v>1500</v>
      </c>
      <c r="Q21" s="140">
        <f>SUM(E21:P21)</f>
        <v>3952</v>
      </c>
      <c r="R21" s="141">
        <v>1580</v>
      </c>
      <c r="S21" s="70">
        <v>0</v>
      </c>
      <c r="T21" s="55"/>
      <c r="U21" s="24"/>
    </row>
    <row r="22" spans="1:21" s="25" customFormat="1" ht="15">
      <c r="A22" s="57" t="s">
        <v>23</v>
      </c>
      <c r="B22" s="49" t="s">
        <v>22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50">
        <v>0</v>
      </c>
      <c r="P22" s="37">
        <v>0</v>
      </c>
      <c r="Q22" s="37">
        <v>0</v>
      </c>
      <c r="R22" s="37"/>
      <c r="S22" s="71">
        <v>0</v>
      </c>
      <c r="T22" s="58" t="s">
        <v>45</v>
      </c>
      <c r="U22" s="24"/>
    </row>
    <row r="23" spans="1:21" s="18" customFormat="1" ht="16.5">
      <c r="A23" s="63" t="s">
        <v>64</v>
      </c>
      <c r="B23" s="2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55"/>
      <c r="U23" s="19"/>
    </row>
    <row r="24" spans="1:21" s="18" customFormat="1" ht="16.5">
      <c r="A24" s="54" t="s">
        <v>17</v>
      </c>
      <c r="B24" s="2" t="s">
        <v>46</v>
      </c>
      <c r="C24" s="13" t="e">
        <f aca="true" t="shared" si="6" ref="C24:R24">C6/C3</f>
        <v>#DIV/0!</v>
      </c>
      <c r="D24" s="13" t="e">
        <f t="shared" si="6"/>
        <v>#DIV/0!</v>
      </c>
      <c r="E24" s="13" t="e">
        <f t="shared" si="6"/>
        <v>#DIV/0!</v>
      </c>
      <c r="F24" s="13">
        <f t="shared" si="6"/>
        <v>66.7668016194332</v>
      </c>
      <c r="G24" s="13">
        <f t="shared" si="6"/>
        <v>30.604318418314257</v>
      </c>
      <c r="H24" s="13">
        <f t="shared" si="6"/>
        <v>35.42652329749104</v>
      </c>
      <c r="I24" s="13">
        <f t="shared" si="6"/>
        <v>41.5320687611144</v>
      </c>
      <c r="J24" s="13">
        <f t="shared" si="6"/>
        <v>41.25154028436019</v>
      </c>
      <c r="K24" s="13">
        <f t="shared" si="6"/>
        <v>35.993709140249166</v>
      </c>
      <c r="L24" s="13">
        <f t="shared" si="6"/>
        <v>34.91921366049648</v>
      </c>
      <c r="M24" s="13">
        <f t="shared" si="6"/>
        <v>150.68789808917197</v>
      </c>
      <c r="N24" s="13" t="e">
        <f t="shared" si="6"/>
        <v>#DIV/0!</v>
      </c>
      <c r="O24" s="13">
        <f t="shared" si="6"/>
        <v>40.39909727996199</v>
      </c>
      <c r="P24" s="13">
        <f t="shared" si="6"/>
        <v>42.50559284116331</v>
      </c>
      <c r="Q24" s="13">
        <f t="shared" si="6"/>
        <v>44.99437504394497</v>
      </c>
      <c r="R24" s="13">
        <f t="shared" si="6"/>
        <v>45.90484535594184</v>
      </c>
      <c r="S24" s="13">
        <f>S6/S3</f>
        <v>44.711910286156225</v>
      </c>
      <c r="T24" s="55" t="s">
        <v>36</v>
      </c>
      <c r="U24" s="19"/>
    </row>
    <row r="25" spans="1:21" s="18" customFormat="1" ht="16.5">
      <c r="A25" s="54" t="s">
        <v>19</v>
      </c>
      <c r="B25" s="1" t="s">
        <v>25</v>
      </c>
      <c r="C25" s="14" t="e">
        <f>C11/C3</f>
        <v>#DIV/0!</v>
      </c>
      <c r="D25" s="14" t="e">
        <f aca="true" t="shared" si="7" ref="D25:N25">D11/D3</f>
        <v>#DIV/0!</v>
      </c>
      <c r="E25" s="14" t="e">
        <f t="shared" si="7"/>
        <v>#DIV/0!</v>
      </c>
      <c r="F25" s="14">
        <f t="shared" si="7"/>
        <v>1.234412955465587</v>
      </c>
      <c r="G25" s="14">
        <f t="shared" si="7"/>
        <v>0.5677679500520292</v>
      </c>
      <c r="H25" s="14">
        <f t="shared" si="7"/>
        <v>0.6850821900877518</v>
      </c>
      <c r="I25" s="14">
        <f t="shared" si="7"/>
        <v>0.6742145820983996</v>
      </c>
      <c r="J25" s="14">
        <f t="shared" si="7"/>
        <v>0.7626777251184834</v>
      </c>
      <c r="K25" s="14">
        <f t="shared" si="7"/>
        <v>0.27211052177130873</v>
      </c>
      <c r="L25" s="14">
        <f t="shared" si="7"/>
        <v>0.7021093413689194</v>
      </c>
      <c r="M25" s="14">
        <f t="shared" si="7"/>
        <v>0.8057324840764332</v>
      </c>
      <c r="N25" s="14" t="e">
        <f t="shared" si="7"/>
        <v>#DIV/0!</v>
      </c>
      <c r="O25" s="14">
        <f>O11/O3</f>
        <v>0.6728827651740111</v>
      </c>
      <c r="P25" s="14">
        <f>P11/P3</f>
        <v>0.7024608501118568</v>
      </c>
      <c r="Q25" s="14">
        <f>Q11/Q3</f>
        <v>0.871282255607378</v>
      </c>
      <c r="R25" s="14">
        <f>R11/R3</f>
        <v>1.1112584663477478</v>
      </c>
      <c r="S25" s="14">
        <f>S11/S3</f>
        <v>1.1587279923570357</v>
      </c>
      <c r="T25" s="53" t="s">
        <v>38</v>
      </c>
      <c r="U25" s="19"/>
    </row>
    <row r="26" spans="1:20" s="18" customFormat="1" ht="16.5">
      <c r="A26" s="54" t="s">
        <v>21</v>
      </c>
      <c r="B26" s="1" t="s">
        <v>47</v>
      </c>
      <c r="C26" s="14" t="e">
        <f aca="true" t="shared" si="8" ref="C26:S26">C13/C3</f>
        <v>#DIV/0!</v>
      </c>
      <c r="D26" s="14" t="e">
        <f t="shared" si="8"/>
        <v>#DIV/0!</v>
      </c>
      <c r="E26" s="14" t="e">
        <f t="shared" si="8"/>
        <v>#DIV/0!</v>
      </c>
      <c r="F26" s="14">
        <f t="shared" si="8"/>
        <v>0.19989473684210526</v>
      </c>
      <c r="G26" s="14">
        <f t="shared" si="8"/>
        <v>0.05951742976066597</v>
      </c>
      <c r="H26" s="14">
        <f t="shared" si="8"/>
        <v>0.05079718205413422</v>
      </c>
      <c r="I26" s="14">
        <f t="shared" si="8"/>
        <v>0.04991108476585655</v>
      </c>
      <c r="J26" s="14">
        <f t="shared" si="8"/>
        <v>0.06623222748815166</v>
      </c>
      <c r="K26" s="14">
        <f t="shared" si="8"/>
        <v>0.05489083508079438</v>
      </c>
      <c r="L26" s="14">
        <f t="shared" si="8"/>
        <v>0.05309226574831396</v>
      </c>
      <c r="M26" s="14">
        <f t="shared" si="8"/>
        <v>1.1560509554140128</v>
      </c>
      <c r="N26" s="14" t="e">
        <f t="shared" si="8"/>
        <v>#DIV/0!</v>
      </c>
      <c r="O26" s="14">
        <f t="shared" si="8"/>
        <v>0.07802094468860118</v>
      </c>
      <c r="P26" s="13">
        <f t="shared" si="8"/>
        <v>0.0447427293064877</v>
      </c>
      <c r="Q26" s="13">
        <f t="shared" si="8"/>
        <v>0.044413715517847514</v>
      </c>
      <c r="R26" s="13">
        <f t="shared" si="8"/>
        <v>0.07995074124946715</v>
      </c>
      <c r="S26" s="13">
        <f t="shared" si="8"/>
        <v>0.1439879896274055</v>
      </c>
      <c r="T26" s="53" t="s">
        <v>41</v>
      </c>
    </row>
    <row r="27" spans="1:20" s="18" customFormat="1" ht="16.5">
      <c r="A27" s="54" t="s">
        <v>32</v>
      </c>
      <c r="B27" s="45" t="s">
        <v>33</v>
      </c>
      <c r="C27" s="14" t="e">
        <f>C15/C3</f>
        <v>#DIV/0!</v>
      </c>
      <c r="D27" s="14" t="e">
        <f aca="true" t="shared" si="9" ref="D27:N27">D15/D3</f>
        <v>#DIV/0!</v>
      </c>
      <c r="E27" s="14" t="e">
        <f t="shared" si="9"/>
        <v>#DIV/0!</v>
      </c>
      <c r="F27" s="14">
        <f t="shared" si="9"/>
        <v>68.8590998299595</v>
      </c>
      <c r="G27" s="14">
        <f t="shared" si="9"/>
        <v>31.227287355619147</v>
      </c>
      <c r="H27" s="14">
        <f t="shared" si="9"/>
        <v>35.95821740205166</v>
      </c>
      <c r="I27" s="14">
        <f t="shared" si="9"/>
        <v>42.05448808535863</v>
      </c>
      <c r="J27" s="14">
        <f t="shared" si="9"/>
        <v>41.94479300947867</v>
      </c>
      <c r="K27" s="14">
        <f t="shared" si="9"/>
        <v>36.56825151103984</v>
      </c>
      <c r="L27" s="14">
        <f t="shared" si="9"/>
        <v>35.47493040608409</v>
      </c>
      <c r="M27" s="14">
        <f t="shared" si="9"/>
        <v>162.78828343949044</v>
      </c>
      <c r="N27" s="14" t="e">
        <f t="shared" si="9"/>
        <v>#DIV/0!</v>
      </c>
      <c r="O27" s="14">
        <f>O15/O3</f>
        <v>41.215742508017584</v>
      </c>
      <c r="P27" s="14">
        <f>P15/P3</f>
        <v>42.930648769574944</v>
      </c>
      <c r="Q27" s="14">
        <f>Q15/Q3</f>
        <v>45.45925340427028</v>
      </c>
      <c r="R27" s="14">
        <f>R15/R3</f>
        <v>46.30114147681523</v>
      </c>
      <c r="S27" s="14">
        <f>S15/S3</f>
        <v>46.21903257358628</v>
      </c>
      <c r="T27" s="55" t="s">
        <v>42</v>
      </c>
    </row>
    <row r="28" spans="1:20" s="18" customFormat="1" ht="16.5">
      <c r="A28" s="138" t="s">
        <v>84</v>
      </c>
      <c r="B28" s="217" t="s">
        <v>91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>
        <f>O18/O3</f>
        <v>0.8314526665874807</v>
      </c>
      <c r="P28" s="218">
        <v>0.6</v>
      </c>
      <c r="Q28" s="218">
        <f>Q18/Q3</f>
        <v>3.843719970937727</v>
      </c>
      <c r="R28" s="218">
        <f>R18/R3</f>
        <v>2.024818831999242</v>
      </c>
      <c r="S28" s="218">
        <v>0</v>
      </c>
      <c r="T28" s="219"/>
    </row>
    <row r="29" spans="1:20" s="18" customFormat="1" ht="16.5">
      <c r="A29" s="138" t="s">
        <v>96</v>
      </c>
      <c r="B29" s="217" t="s">
        <v>91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>
        <f>O19/O3</f>
        <v>0.2573543968008869</v>
      </c>
      <c r="P29" s="218">
        <v>0.3</v>
      </c>
      <c r="Q29" s="218">
        <f>Q19/Q3</f>
        <v>1.4296763306536668</v>
      </c>
      <c r="R29" s="218">
        <f>R19/R3</f>
        <v>0.9472836640932127</v>
      </c>
      <c r="S29" s="218">
        <v>0</v>
      </c>
      <c r="T29" s="219"/>
    </row>
    <row r="30" spans="1:20" s="18" customFormat="1" ht="16.5">
      <c r="A30" s="138" t="s">
        <v>95</v>
      </c>
      <c r="B30" s="217" t="s">
        <v>91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>
        <f>O20/O3</f>
        <v>0.13639783030447006</v>
      </c>
      <c r="P30" s="218">
        <v>0.05</v>
      </c>
      <c r="Q30" s="218">
        <f>Q20/Q3</f>
        <v>0.47765251833970046</v>
      </c>
      <c r="R30" s="218">
        <f>R20/R3</f>
        <v>0.15985411831572965</v>
      </c>
      <c r="S30" s="218">
        <v>0</v>
      </c>
      <c r="T30" s="219"/>
    </row>
    <row r="31" spans="1:20" s="18" customFormat="1" ht="16.5">
      <c r="A31" s="221" t="s">
        <v>94</v>
      </c>
      <c r="B31" s="217" t="s">
        <v>91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f>O21/O3</f>
        <v>0.024270499267529794</v>
      </c>
      <c r="P31" s="14">
        <v>0.02</v>
      </c>
      <c r="Q31" s="218">
        <f>Q21/Q3</f>
        <v>0.09262427637284083</v>
      </c>
      <c r="R31" s="218">
        <f>R21/R3</f>
        <v>0.037417704731681906</v>
      </c>
      <c r="S31" s="14">
        <v>0</v>
      </c>
      <c r="T31" s="222"/>
    </row>
    <row r="32" spans="1:20" s="18" customFormat="1" ht="16.5">
      <c r="A32" s="57" t="s">
        <v>26</v>
      </c>
      <c r="B32" s="49" t="s">
        <v>22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50">
        <v>0</v>
      </c>
      <c r="P32" s="37">
        <v>0</v>
      </c>
      <c r="Q32" s="37">
        <v>0</v>
      </c>
      <c r="R32" s="37"/>
      <c r="S32" s="71">
        <v>0</v>
      </c>
      <c r="T32" s="58" t="s">
        <v>45</v>
      </c>
    </row>
    <row r="33" spans="1:21" ht="18.75">
      <c r="A33" s="220" t="s">
        <v>65</v>
      </c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29"/>
      <c r="O33" s="29"/>
      <c r="P33" s="31"/>
      <c r="Q33" s="31"/>
      <c r="R33" s="31"/>
      <c r="S33" s="72"/>
      <c r="T33" s="30"/>
      <c r="U33" s="18"/>
    </row>
    <row r="34" spans="1:21" s="18" customFormat="1" ht="15">
      <c r="A34" s="54" t="s">
        <v>17</v>
      </c>
      <c r="B34" s="2" t="s">
        <v>60</v>
      </c>
      <c r="C34" s="13" t="e">
        <f>C6/C4</f>
        <v>#DIV/0!</v>
      </c>
      <c r="D34" s="13" t="e">
        <f>D6/D4</f>
        <v>#DIV/0!</v>
      </c>
      <c r="E34" s="13" t="e">
        <f aca="true" t="shared" si="10" ref="E34:S34">E6/E4</f>
        <v>#DIV/0!</v>
      </c>
      <c r="F34" s="13">
        <f t="shared" si="10"/>
        <v>27.16422335694284</v>
      </c>
      <c r="G34" s="13">
        <f t="shared" si="10"/>
        <v>12.851540310246886</v>
      </c>
      <c r="H34" s="13">
        <f t="shared" si="10"/>
        <v>12.629918484247632</v>
      </c>
      <c r="I34" s="13">
        <f t="shared" si="10"/>
        <v>12.646126633456069</v>
      </c>
      <c r="J34" s="13">
        <f t="shared" si="10"/>
        <v>12.765380948889051</v>
      </c>
      <c r="K34" s="13">
        <f t="shared" si="10"/>
        <v>15.544481142126571</v>
      </c>
      <c r="L34" s="13">
        <f t="shared" si="10"/>
        <v>13.113050975320617</v>
      </c>
      <c r="M34" s="13">
        <f t="shared" si="10"/>
        <v>55.27570093457944</v>
      </c>
      <c r="N34" s="13" t="e">
        <f t="shared" si="10"/>
        <v>#DIV/0!</v>
      </c>
      <c r="O34" s="13">
        <f t="shared" si="10"/>
        <v>14.552040845431986</v>
      </c>
      <c r="P34" s="13">
        <f t="shared" si="10"/>
        <v>14.913072485381264</v>
      </c>
      <c r="Q34" s="13">
        <f t="shared" si="10"/>
        <v>15.829670918640797</v>
      </c>
      <c r="R34" s="13">
        <f t="shared" si="10"/>
        <v>16.190658358530595</v>
      </c>
      <c r="S34" s="13">
        <f t="shared" si="10"/>
        <v>15.962911228956365</v>
      </c>
      <c r="T34" s="55" t="s">
        <v>36</v>
      </c>
      <c r="U34" s="19"/>
    </row>
    <row r="35" spans="1:21" s="18" customFormat="1" ht="16.5">
      <c r="A35" s="54" t="s">
        <v>19</v>
      </c>
      <c r="B35" s="1" t="s">
        <v>61</v>
      </c>
      <c r="C35" s="14" t="e">
        <f>C11/C4</f>
        <v>#DIV/0!</v>
      </c>
      <c r="D35" s="14" t="e">
        <f aca="true" t="shared" si="11" ref="D35:S35">D11/D4</f>
        <v>#DIV/0!</v>
      </c>
      <c r="E35" s="14" t="e">
        <f t="shared" si="11"/>
        <v>#DIV/0!</v>
      </c>
      <c r="F35" s="14">
        <f t="shared" si="11"/>
        <v>0.502223686377862</v>
      </c>
      <c r="G35" s="14">
        <f t="shared" si="11"/>
        <v>0.2384203626829801</v>
      </c>
      <c r="H35" s="14">
        <f t="shared" si="11"/>
        <v>0.24423881912315487</v>
      </c>
      <c r="I35" s="14">
        <f t="shared" si="11"/>
        <v>0.20529203667605228</v>
      </c>
      <c r="J35" s="14">
        <f t="shared" si="11"/>
        <v>0.2360123194250935</v>
      </c>
      <c r="K35" s="14">
        <f t="shared" si="11"/>
        <v>0.11751544854037929</v>
      </c>
      <c r="L35" s="14">
        <f t="shared" si="11"/>
        <v>0.2636598771419334</v>
      </c>
      <c r="M35" s="14">
        <f t="shared" si="11"/>
        <v>0.2955607476635514</v>
      </c>
      <c r="N35" s="14" t="e">
        <f t="shared" si="11"/>
        <v>#DIV/0!</v>
      </c>
      <c r="O35" s="14">
        <f t="shared" si="11"/>
        <v>0.24237713568555863</v>
      </c>
      <c r="P35" s="14">
        <f t="shared" si="11"/>
        <v>0.24645814528472196</v>
      </c>
      <c r="Q35" s="14">
        <f t="shared" si="11"/>
        <v>0.306529679988786</v>
      </c>
      <c r="R35" s="14">
        <f t="shared" si="11"/>
        <v>0.3919413307495698</v>
      </c>
      <c r="S35" s="14">
        <f t="shared" si="11"/>
        <v>0.4136855697312749</v>
      </c>
      <c r="T35" s="53" t="s">
        <v>38</v>
      </c>
      <c r="U35" s="19"/>
    </row>
    <row r="36" spans="1:20" s="18" customFormat="1" ht="16.5">
      <c r="A36" s="54" t="s">
        <v>21</v>
      </c>
      <c r="B36" s="1" t="s">
        <v>62</v>
      </c>
      <c r="C36" s="14" t="e">
        <f>C13/C4</f>
        <v>#DIV/0!</v>
      </c>
      <c r="D36" s="14" t="e">
        <f aca="true" t="shared" si="12" ref="D36:N36">D13/D4</f>
        <v>#DIV/0!</v>
      </c>
      <c r="E36" s="14" t="e">
        <f t="shared" si="12"/>
        <v>#DIV/0!</v>
      </c>
      <c r="F36" s="14">
        <f t="shared" si="12"/>
        <v>0.08132762312633833</v>
      </c>
      <c r="G36" s="14">
        <f t="shared" si="12"/>
        <v>0.024992899279003715</v>
      </c>
      <c r="H36" s="14">
        <f t="shared" si="12"/>
        <v>0.018109715796430934</v>
      </c>
      <c r="I36" s="14">
        <f t="shared" si="12"/>
        <v>0.015197458667244243</v>
      </c>
      <c r="J36" s="14">
        <f t="shared" si="12"/>
        <v>0.020495710200190656</v>
      </c>
      <c r="K36" s="14">
        <f t="shared" si="12"/>
        <v>0.023705518857873427</v>
      </c>
      <c r="L36" s="14">
        <f t="shared" si="12"/>
        <v>0.019937493264360385</v>
      </c>
      <c r="M36" s="14">
        <f t="shared" si="12"/>
        <v>0.42406542056074764</v>
      </c>
      <c r="N36" s="14" t="e">
        <f t="shared" si="12"/>
        <v>#DIV/0!</v>
      </c>
      <c r="O36" s="14">
        <f>O13/O4</f>
        <v>0.028103696625688127</v>
      </c>
      <c r="P36" s="14">
        <f>P13/P4</f>
        <v>0.015697971037243436</v>
      </c>
      <c r="Q36" s="14">
        <f>Q13/Q4</f>
        <v>0.01562538651186952</v>
      </c>
      <c r="R36" s="14">
        <f>R13/R4</f>
        <v>0.028198660229531748</v>
      </c>
      <c r="S36" s="14">
        <f>S13/S4</f>
        <v>0.05140615736943405</v>
      </c>
      <c r="T36" s="53" t="s">
        <v>41</v>
      </c>
    </row>
    <row r="37" spans="1:20" s="18" customFormat="1" ht="16.5">
      <c r="A37" s="54" t="s">
        <v>32</v>
      </c>
      <c r="B37" s="45" t="s">
        <v>63</v>
      </c>
      <c r="C37" s="14" t="e">
        <f>C15/C4</f>
        <v>#DIV/0!</v>
      </c>
      <c r="D37" s="14" t="e">
        <f aca="true" t="shared" si="13" ref="D37:N37">D15/D4</f>
        <v>#DIV/0!</v>
      </c>
      <c r="E37" s="14" t="e">
        <f t="shared" si="13"/>
        <v>#DIV/0!</v>
      </c>
      <c r="F37" s="14">
        <f t="shared" si="13"/>
        <v>28.015479588206226</v>
      </c>
      <c r="G37" s="14">
        <f t="shared" si="13"/>
        <v>13.113140987000218</v>
      </c>
      <c r="H37" s="14">
        <f t="shared" si="13"/>
        <v>12.819472879488874</v>
      </c>
      <c r="I37" s="14">
        <f t="shared" si="13"/>
        <v>12.805198433326114</v>
      </c>
      <c r="J37" s="14">
        <f t="shared" si="13"/>
        <v>12.979909547554447</v>
      </c>
      <c r="K37" s="14">
        <f t="shared" si="13"/>
        <v>15.792606808011932</v>
      </c>
      <c r="L37" s="14">
        <f t="shared" si="13"/>
        <v>13.321736717318677</v>
      </c>
      <c r="M37" s="14">
        <f t="shared" si="13"/>
        <v>59.71439369158879</v>
      </c>
      <c r="N37" s="14" t="e">
        <f t="shared" si="13"/>
        <v>#DIV/0!</v>
      </c>
      <c r="O37" s="14">
        <f>O15/O4</f>
        <v>14.846202238013065</v>
      </c>
      <c r="P37" s="14">
        <f>P15/P4</f>
        <v>15.062203210235078</v>
      </c>
      <c r="Q37" s="14">
        <f>Q15/Q4</f>
        <v>15.993221839260537</v>
      </c>
      <c r="R37" s="14">
        <f>R15/R4</f>
        <v>16.33043216785553</v>
      </c>
      <c r="S37" s="14">
        <f>S15/S4</f>
        <v>16.500979478142234</v>
      </c>
      <c r="T37" s="55" t="s">
        <v>42</v>
      </c>
    </row>
    <row r="38" spans="1:20" ht="16.5">
      <c r="A38" s="138" t="s">
        <v>84</v>
      </c>
      <c r="B38" s="146" t="s">
        <v>97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148">
        <f>O18/O4</f>
        <v>0.2994951367694458</v>
      </c>
      <c r="P38" s="65">
        <v>0.4</v>
      </c>
      <c r="Q38" s="198">
        <v>0.7478747000667892</v>
      </c>
      <c r="R38" s="223">
        <f>R18/R4</f>
        <v>0.7141544578272999</v>
      </c>
      <c r="S38" s="223">
        <v>0</v>
      </c>
      <c r="T38" s="44"/>
    </row>
    <row r="39" spans="1:20" ht="16.5">
      <c r="A39" s="138" t="s">
        <v>96</v>
      </c>
      <c r="B39" s="146" t="s">
        <v>97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142"/>
      <c r="O39" s="147">
        <f>O19/O4</f>
        <v>0.09270087566673323</v>
      </c>
      <c r="P39" s="143">
        <v>0.1</v>
      </c>
      <c r="Q39" s="200">
        <v>0.3878723913025553</v>
      </c>
      <c r="R39" s="224">
        <f>R19/R4</f>
        <v>0.33410734869113445</v>
      </c>
      <c r="S39" s="225">
        <v>0</v>
      </c>
      <c r="T39" s="142"/>
    </row>
    <row r="40" spans="1:20" ht="16.5">
      <c r="A40" s="138" t="s">
        <v>95</v>
      </c>
      <c r="B40" s="146" t="s">
        <v>97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148">
        <f>O20/O4</f>
        <v>0.049131464103368605</v>
      </c>
      <c r="P40" s="65">
        <v>0.07</v>
      </c>
      <c r="Q40" s="200">
        <v>0.05021562208827725</v>
      </c>
      <c r="R40" s="223">
        <f>R20/R4</f>
        <v>0.05638061509162894</v>
      </c>
      <c r="S40" s="223">
        <v>0</v>
      </c>
      <c r="T40" s="44"/>
    </row>
    <row r="41" spans="1:20" ht="16.5">
      <c r="A41" s="138" t="s">
        <v>94</v>
      </c>
      <c r="B41" s="146" t="s">
        <v>97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148">
        <f>O21/O4</f>
        <v>0.008742405659031918</v>
      </c>
      <c r="P41" s="65">
        <v>0.02</v>
      </c>
      <c r="Q41" s="200">
        <v>0.009235056935775126</v>
      </c>
      <c r="R41" s="223">
        <f>R21/R4</f>
        <v>0.01319724027329981</v>
      </c>
      <c r="S41" s="223">
        <v>0</v>
      </c>
      <c r="T41" s="44"/>
    </row>
  </sheetData>
  <sheetProtection/>
  <mergeCells count="2">
    <mergeCell ref="A1:O1"/>
    <mergeCell ref="B3:B4"/>
  </mergeCells>
  <printOptions/>
  <pageMargins left="0.25" right="0.25" top="0.75" bottom="0.75" header="0.3" footer="0.3"/>
  <pageSetup fitToHeight="1" fitToWidth="1" horizontalDpi="300" verticalDpi="3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6">
      <selection activeCell="P30" sqref="P30:P33"/>
    </sheetView>
  </sheetViews>
  <sheetFormatPr defaultColWidth="9.140625" defaultRowHeight="15"/>
  <cols>
    <col min="1" max="1" width="15.140625" style="33" customWidth="1"/>
    <col min="2" max="2" width="7.00390625" style="34" customWidth="1"/>
    <col min="3" max="3" width="6.421875" style="35" customWidth="1"/>
    <col min="4" max="4" width="6.28125" style="35" customWidth="1"/>
    <col min="5" max="5" width="6.421875" style="35" customWidth="1"/>
    <col min="6" max="6" width="7.28125" style="35" customWidth="1"/>
    <col min="7" max="8" width="9.57421875" style="35" bestFit="1" customWidth="1"/>
    <col min="9" max="9" width="7.140625" style="35" customWidth="1"/>
    <col min="10" max="10" width="7.57421875" style="35" customWidth="1"/>
    <col min="11" max="11" width="7.7109375" style="35" customWidth="1"/>
    <col min="12" max="12" width="7.421875" style="35" customWidth="1"/>
    <col min="13" max="13" width="9.00390625" style="35" customWidth="1"/>
    <col min="14" max="14" width="11.57421875" style="35" customWidth="1"/>
    <col min="15" max="15" width="13.57421875" style="35" customWidth="1"/>
    <col min="16" max="16" width="13.421875" style="66" customWidth="1"/>
    <col min="17" max="17" width="13.28125" style="66" customWidth="1"/>
    <col min="18" max="18" width="12.421875" style="66" customWidth="1"/>
    <col min="19" max="19" width="19.28125" style="36" customWidth="1"/>
    <col min="20" max="20" width="10.00390625" style="32" bestFit="1" customWidth="1"/>
    <col min="21" max="16384" width="9.140625" style="32" customWidth="1"/>
  </cols>
  <sheetData>
    <row r="1" spans="1:20" s="18" customFormat="1" ht="18">
      <c r="A1" s="236" t="s">
        <v>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51"/>
      <c r="Q1" s="51"/>
      <c r="R1" s="68"/>
      <c r="S1" s="52"/>
      <c r="T1" s="19"/>
    </row>
    <row r="2" spans="1:19" s="18" customFormat="1" ht="30.75" customHeight="1">
      <c r="A2" s="149" t="s">
        <v>52</v>
      </c>
      <c r="B2" s="45" t="s">
        <v>0</v>
      </c>
      <c r="C2" s="45" t="s">
        <v>1</v>
      </c>
      <c r="D2" s="45" t="s">
        <v>2</v>
      </c>
      <c r="E2" s="45" t="s">
        <v>3</v>
      </c>
      <c r="F2" s="150" t="s">
        <v>4</v>
      </c>
      <c r="G2" s="150" t="s">
        <v>5</v>
      </c>
      <c r="H2" s="150" t="s">
        <v>6</v>
      </c>
      <c r="I2" s="150" t="s">
        <v>7</v>
      </c>
      <c r="J2" s="150" t="s">
        <v>8</v>
      </c>
      <c r="K2" s="150" t="s">
        <v>9</v>
      </c>
      <c r="L2" s="150" t="s">
        <v>10</v>
      </c>
      <c r="M2" s="150" t="s">
        <v>11</v>
      </c>
      <c r="N2" s="150" t="s">
        <v>12</v>
      </c>
      <c r="O2" s="151" t="s">
        <v>53</v>
      </c>
      <c r="P2" s="151" t="s">
        <v>54</v>
      </c>
      <c r="Q2" s="152" t="s">
        <v>55</v>
      </c>
      <c r="R2" s="152" t="s">
        <v>44</v>
      </c>
      <c r="S2" s="153"/>
    </row>
    <row r="3" spans="1:20" s="18" customFormat="1" ht="16.5">
      <c r="A3" s="154" t="s">
        <v>13</v>
      </c>
      <c r="B3" s="239" t="s">
        <v>14</v>
      </c>
      <c r="C3" s="155">
        <v>0</v>
      </c>
      <c r="D3" s="155">
        <v>0</v>
      </c>
      <c r="E3" s="155">
        <v>0</v>
      </c>
      <c r="F3" s="155">
        <v>1081</v>
      </c>
      <c r="G3" s="155">
        <v>5544</v>
      </c>
      <c r="H3" s="155">
        <v>7125</v>
      </c>
      <c r="I3" s="156">
        <v>7720</v>
      </c>
      <c r="J3" s="155">
        <v>7765</v>
      </c>
      <c r="K3" s="155">
        <v>7475</v>
      </c>
      <c r="L3" s="155">
        <v>5957</v>
      </c>
      <c r="M3" s="155"/>
      <c r="N3" s="155"/>
      <c r="O3" s="157">
        <f>SUM(C3:N3)</f>
        <v>42667</v>
      </c>
      <c r="P3" s="158">
        <v>43902</v>
      </c>
      <c r="Q3" s="158">
        <f>'ATLANTICA MIKRI POLI CRETE 2015'!O3</f>
        <v>42226</v>
      </c>
      <c r="R3" s="159">
        <v>43962</v>
      </c>
      <c r="S3" s="153"/>
      <c r="T3" s="19"/>
    </row>
    <row r="4" spans="1:20" s="18" customFormat="1" ht="16.5">
      <c r="A4" s="154" t="s">
        <v>15</v>
      </c>
      <c r="B4" s="239"/>
      <c r="C4" s="155">
        <v>0</v>
      </c>
      <c r="D4" s="155">
        <v>0</v>
      </c>
      <c r="E4" s="155">
        <v>0</v>
      </c>
      <c r="F4" s="155">
        <v>2757</v>
      </c>
      <c r="G4" s="155">
        <v>14467</v>
      </c>
      <c r="H4" s="155">
        <v>18775</v>
      </c>
      <c r="I4" s="156">
        <v>25465</v>
      </c>
      <c r="J4" s="155">
        <v>25582</v>
      </c>
      <c r="K4" s="155">
        <v>17642</v>
      </c>
      <c r="L4" s="155">
        <v>16589</v>
      </c>
      <c r="M4" s="155"/>
      <c r="N4" s="155"/>
      <c r="O4" s="157">
        <f>SUM(C4:N4)</f>
        <v>121277</v>
      </c>
      <c r="P4" s="158">
        <v>124033</v>
      </c>
      <c r="Q4" s="158">
        <f>'ATLANTICA MIKRI POLI CRETE 2015'!O4</f>
        <v>119722</v>
      </c>
      <c r="R4" s="159">
        <v>123137</v>
      </c>
      <c r="S4" s="153"/>
      <c r="T4" s="19"/>
    </row>
    <row r="5" spans="1:20" s="18" customFormat="1" ht="16.5">
      <c r="A5" s="160" t="s">
        <v>16</v>
      </c>
      <c r="B5" s="45"/>
      <c r="C5" s="155"/>
      <c r="D5" s="155"/>
      <c r="E5" s="155"/>
      <c r="F5" s="161"/>
      <c r="G5" s="161"/>
      <c r="H5" s="161"/>
      <c r="I5" s="161"/>
      <c r="J5" s="161"/>
      <c r="K5" s="161"/>
      <c r="L5" s="161"/>
      <c r="M5" s="161"/>
      <c r="N5" s="162"/>
      <c r="O5" s="163"/>
      <c r="P5" s="164"/>
      <c r="Q5" s="164"/>
      <c r="R5" s="164"/>
      <c r="S5" s="153"/>
      <c r="T5" s="19"/>
    </row>
    <row r="6" spans="1:20" s="25" customFormat="1" ht="15">
      <c r="A6" s="154" t="s">
        <v>17</v>
      </c>
      <c r="B6" s="45" t="s">
        <v>18</v>
      </c>
      <c r="C6" s="165">
        <v>11037</v>
      </c>
      <c r="D6" s="165">
        <v>14239</v>
      </c>
      <c r="E6" s="165">
        <v>11454</v>
      </c>
      <c r="F6" s="165">
        <v>89989</v>
      </c>
      <c r="G6" s="165">
        <v>201244</v>
      </c>
      <c r="H6" s="165">
        <v>304140</v>
      </c>
      <c r="I6" s="165">
        <v>364619</v>
      </c>
      <c r="J6" s="166">
        <v>360537</v>
      </c>
      <c r="K6" s="166">
        <v>305824</v>
      </c>
      <c r="L6" s="166">
        <v>216565</v>
      </c>
      <c r="M6" s="166">
        <v>27530</v>
      </c>
      <c r="N6" s="166">
        <v>12597</v>
      </c>
      <c r="O6" s="166">
        <f aca="true" t="shared" si="0" ref="O6:O11">SUM(C6:N6)</f>
        <v>1919775</v>
      </c>
      <c r="P6" s="167">
        <v>1900000</v>
      </c>
      <c r="Q6" s="167">
        <f>'ATLANTICA MIKRI POLI CRETE 2015'!O6</f>
        <v>1938378</v>
      </c>
      <c r="R6" s="167">
        <v>1965625</v>
      </c>
      <c r="S6" s="153" t="s">
        <v>36</v>
      </c>
      <c r="T6" s="24">
        <f>P6/P3</f>
        <v>43.27821055988338</v>
      </c>
    </row>
    <row r="7" spans="1:20" s="25" customFormat="1" ht="15">
      <c r="A7" s="154" t="s">
        <v>17</v>
      </c>
      <c r="B7" s="45" t="s">
        <v>30</v>
      </c>
      <c r="C7" s="168">
        <v>1990</v>
      </c>
      <c r="D7" s="168">
        <v>2200</v>
      </c>
      <c r="E7" s="168">
        <v>1402</v>
      </c>
      <c r="F7" s="168">
        <v>11819</v>
      </c>
      <c r="G7" s="168">
        <v>23627</v>
      </c>
      <c r="H7" s="168">
        <v>33637</v>
      </c>
      <c r="I7" s="168">
        <v>37690</v>
      </c>
      <c r="J7" s="169">
        <v>37036</v>
      </c>
      <c r="K7" s="169">
        <v>31206</v>
      </c>
      <c r="L7" s="169">
        <v>24903</v>
      </c>
      <c r="M7" s="169">
        <v>565</v>
      </c>
      <c r="N7" s="169">
        <v>1542</v>
      </c>
      <c r="O7" s="170">
        <f t="shared" si="0"/>
        <v>207617</v>
      </c>
      <c r="P7" s="171">
        <v>220000</v>
      </c>
      <c r="Q7" s="171">
        <f>'ATLANTICA MIKRI POLI CRETE 2015'!O7</f>
        <v>243776</v>
      </c>
      <c r="R7" s="171">
        <v>252347</v>
      </c>
      <c r="S7" s="153" t="s">
        <v>36</v>
      </c>
      <c r="T7" s="24">
        <f>P6/P4</f>
        <v>15.31850394653036</v>
      </c>
    </row>
    <row r="8" spans="1:20" s="25" customFormat="1" ht="15">
      <c r="A8" s="172" t="s">
        <v>31</v>
      </c>
      <c r="B8" s="45" t="s">
        <v>30</v>
      </c>
      <c r="C8" s="168">
        <v>0</v>
      </c>
      <c r="D8" s="168">
        <v>0</v>
      </c>
      <c r="E8" s="168">
        <v>0</v>
      </c>
      <c r="F8" s="168">
        <v>5789</v>
      </c>
      <c r="G8" s="168">
        <v>39205</v>
      </c>
      <c r="H8" s="168">
        <v>40870</v>
      </c>
      <c r="I8" s="168">
        <v>42396</v>
      </c>
      <c r="J8" s="169">
        <v>41703</v>
      </c>
      <c r="K8" s="169">
        <v>39899</v>
      </c>
      <c r="L8" s="169">
        <v>33794</v>
      </c>
      <c r="M8" s="169">
        <v>0</v>
      </c>
      <c r="N8" s="169">
        <v>0</v>
      </c>
      <c r="O8" s="169">
        <f t="shared" si="0"/>
        <v>243656</v>
      </c>
      <c r="P8" s="173">
        <v>243656</v>
      </c>
      <c r="Q8" s="173">
        <f>'ATLANTICA MIKRI POLI CRETE 2015'!O8</f>
        <v>227425</v>
      </c>
      <c r="R8" s="173">
        <v>250000</v>
      </c>
      <c r="S8" s="153" t="s">
        <v>36</v>
      </c>
      <c r="T8" s="24"/>
    </row>
    <row r="9" spans="1:20" s="25" customFormat="1" ht="15">
      <c r="A9" s="154" t="s">
        <v>48</v>
      </c>
      <c r="B9" s="46" t="s">
        <v>20</v>
      </c>
      <c r="C9" s="174">
        <v>500</v>
      </c>
      <c r="D9" s="174">
        <v>500</v>
      </c>
      <c r="E9" s="174">
        <v>1000</v>
      </c>
      <c r="F9" s="174">
        <v>2029</v>
      </c>
      <c r="G9" s="174">
        <v>4721</v>
      </c>
      <c r="H9" s="174">
        <v>5835</v>
      </c>
      <c r="I9" s="174">
        <v>6000</v>
      </c>
      <c r="J9" s="174">
        <v>5763</v>
      </c>
      <c r="K9" s="174">
        <v>3587</v>
      </c>
      <c r="L9" s="174">
        <v>4479</v>
      </c>
      <c r="M9" s="175">
        <v>123</v>
      </c>
      <c r="N9" s="175">
        <v>100</v>
      </c>
      <c r="O9" s="158">
        <f>SUM(C9:N9)</f>
        <v>34637</v>
      </c>
      <c r="P9" s="158">
        <v>40000</v>
      </c>
      <c r="Q9" s="158">
        <f>'ATLANTICA MIKRI POLI CRETE 2015'!O9</f>
        <v>43354</v>
      </c>
      <c r="R9" s="159">
        <v>49194</v>
      </c>
      <c r="S9" s="176" t="s">
        <v>37</v>
      </c>
      <c r="T9" s="24">
        <f>P11/P3</f>
        <v>0.9430094300943009</v>
      </c>
    </row>
    <row r="10" spans="1:20" s="25" customFormat="1" ht="15">
      <c r="A10" s="154" t="s">
        <v>49</v>
      </c>
      <c r="B10" s="46" t="s">
        <v>20</v>
      </c>
      <c r="C10" s="174">
        <v>50</v>
      </c>
      <c r="D10" s="174">
        <v>50</v>
      </c>
      <c r="E10" s="174">
        <v>50</v>
      </c>
      <c r="F10" s="174">
        <v>72</v>
      </c>
      <c r="G10" s="174">
        <v>72</v>
      </c>
      <c r="H10" s="174">
        <v>197</v>
      </c>
      <c r="I10" s="174">
        <v>561</v>
      </c>
      <c r="J10" s="174">
        <v>471</v>
      </c>
      <c r="K10" s="174">
        <v>344</v>
      </c>
      <c r="L10" s="174">
        <v>427</v>
      </c>
      <c r="M10" s="175">
        <v>144</v>
      </c>
      <c r="N10" s="175">
        <v>100</v>
      </c>
      <c r="O10" s="158">
        <f>SUM(C10:N10)</f>
        <v>2538</v>
      </c>
      <c r="P10" s="158">
        <v>1400</v>
      </c>
      <c r="Q10" s="158">
        <v>3570</v>
      </c>
      <c r="R10" s="159">
        <v>1747</v>
      </c>
      <c r="S10" s="176" t="s">
        <v>38</v>
      </c>
      <c r="T10" s="24">
        <f>P11/P4</f>
        <v>0.3337821386243984</v>
      </c>
    </row>
    <row r="11" spans="1:20" s="25" customFormat="1" ht="15">
      <c r="A11" s="154" t="s">
        <v>50</v>
      </c>
      <c r="B11" s="47" t="s">
        <v>20</v>
      </c>
      <c r="C11" s="177">
        <f>SUM(C9:C10)</f>
        <v>550</v>
      </c>
      <c r="D11" s="177">
        <f aca="true" t="shared" si="1" ref="D11:N11">SUM(D9:D10)</f>
        <v>550</v>
      </c>
      <c r="E11" s="177">
        <f t="shared" si="1"/>
        <v>1050</v>
      </c>
      <c r="F11" s="177">
        <f t="shared" si="1"/>
        <v>2101</v>
      </c>
      <c r="G11" s="177">
        <f t="shared" si="1"/>
        <v>4793</v>
      </c>
      <c r="H11" s="177">
        <f t="shared" si="1"/>
        <v>6032</v>
      </c>
      <c r="I11" s="177">
        <f t="shared" si="1"/>
        <v>6561</v>
      </c>
      <c r="J11" s="177">
        <f t="shared" si="1"/>
        <v>6234</v>
      </c>
      <c r="K11" s="177">
        <f t="shared" si="1"/>
        <v>3931</v>
      </c>
      <c r="L11" s="177">
        <f t="shared" si="1"/>
        <v>4906</v>
      </c>
      <c r="M11" s="177">
        <f t="shared" si="1"/>
        <v>267</v>
      </c>
      <c r="N11" s="177">
        <f t="shared" si="1"/>
        <v>200</v>
      </c>
      <c r="O11" s="178">
        <f t="shared" si="0"/>
        <v>37175</v>
      </c>
      <c r="P11" s="158">
        <f>SUM(P9:P10)</f>
        <v>41400</v>
      </c>
      <c r="Q11" s="158">
        <v>46924</v>
      </c>
      <c r="R11" s="159">
        <v>50940</v>
      </c>
      <c r="S11" s="179" t="s">
        <v>39</v>
      </c>
      <c r="T11" s="24"/>
    </row>
    <row r="12" spans="1:20" s="25" customFormat="1" ht="15">
      <c r="A12" s="172" t="s">
        <v>34</v>
      </c>
      <c r="B12" s="46" t="s">
        <v>30</v>
      </c>
      <c r="C12" s="174">
        <v>0</v>
      </c>
      <c r="D12" s="174">
        <v>0</v>
      </c>
      <c r="E12" s="180">
        <v>0</v>
      </c>
      <c r="F12" s="180">
        <v>486</v>
      </c>
      <c r="G12" s="180">
        <v>3128</v>
      </c>
      <c r="H12" s="180">
        <v>3632</v>
      </c>
      <c r="I12" s="180">
        <v>4455</v>
      </c>
      <c r="J12" s="180">
        <v>4369</v>
      </c>
      <c r="K12" s="174">
        <v>3209</v>
      </c>
      <c r="L12" s="174">
        <v>3047</v>
      </c>
      <c r="M12" s="175">
        <v>0</v>
      </c>
      <c r="N12" s="175">
        <v>0</v>
      </c>
      <c r="O12" s="180">
        <f aca="true" t="shared" si="2" ref="O12:O21">SUM(C12:N12)</f>
        <v>22326</v>
      </c>
      <c r="P12" s="173">
        <v>22326</v>
      </c>
      <c r="Q12" s="173">
        <v>23592</v>
      </c>
      <c r="R12" s="173">
        <v>25000</v>
      </c>
      <c r="S12" s="176" t="s">
        <v>40</v>
      </c>
      <c r="T12" s="24"/>
    </row>
    <row r="13" spans="1:20" s="25" customFormat="1" ht="15">
      <c r="A13" s="154" t="s">
        <v>21</v>
      </c>
      <c r="B13" s="46" t="s">
        <v>22</v>
      </c>
      <c r="C13" s="174">
        <v>0</v>
      </c>
      <c r="D13" s="174">
        <v>0</v>
      </c>
      <c r="E13" s="174">
        <v>0</v>
      </c>
      <c r="F13" s="174">
        <v>100</v>
      </c>
      <c r="G13" s="174">
        <v>950</v>
      </c>
      <c r="H13" s="174">
        <v>250</v>
      </c>
      <c r="I13" s="174">
        <v>100</v>
      </c>
      <c r="J13" s="174">
        <v>95</v>
      </c>
      <c r="K13" s="174">
        <v>100</v>
      </c>
      <c r="L13" s="174">
        <v>300</v>
      </c>
      <c r="M13" s="174"/>
      <c r="N13" s="174"/>
      <c r="O13" s="158">
        <f t="shared" si="2"/>
        <v>1895</v>
      </c>
      <c r="P13" s="158">
        <v>3000</v>
      </c>
      <c r="Q13" s="158">
        <v>3376</v>
      </c>
      <c r="R13" s="159">
        <v>6330</v>
      </c>
      <c r="S13" s="176" t="s">
        <v>41</v>
      </c>
      <c r="T13" s="24"/>
    </row>
    <row r="14" spans="1:20" s="25" customFormat="1" ht="15">
      <c r="A14" s="154" t="s">
        <v>21</v>
      </c>
      <c r="B14" s="46" t="s">
        <v>18</v>
      </c>
      <c r="C14" s="174">
        <v>0</v>
      </c>
      <c r="D14" s="174">
        <v>0</v>
      </c>
      <c r="E14" s="174">
        <v>0</v>
      </c>
      <c r="F14" s="174">
        <f>F13*10.467</f>
        <v>1046.7</v>
      </c>
      <c r="G14" s="174">
        <f aca="true" t="shared" si="3" ref="G14:L14">G13*10.467</f>
        <v>9943.65</v>
      </c>
      <c r="H14" s="174">
        <f t="shared" si="3"/>
        <v>2616.75</v>
      </c>
      <c r="I14" s="174">
        <f t="shared" si="3"/>
        <v>1046.7</v>
      </c>
      <c r="J14" s="174">
        <f t="shared" si="3"/>
        <v>994.365</v>
      </c>
      <c r="K14" s="174">
        <f t="shared" si="3"/>
        <v>1046.7</v>
      </c>
      <c r="L14" s="174">
        <f t="shared" si="3"/>
        <v>3140.1000000000004</v>
      </c>
      <c r="M14" s="174">
        <v>0</v>
      </c>
      <c r="N14" s="174">
        <v>0</v>
      </c>
      <c r="O14" s="158">
        <f t="shared" si="2"/>
        <v>19834.965000000004</v>
      </c>
      <c r="P14" s="158">
        <f>P13*10.467</f>
        <v>31401</v>
      </c>
      <c r="Q14" s="158">
        <v>35337</v>
      </c>
      <c r="R14" s="159">
        <f>R13*10.467</f>
        <v>66256.11</v>
      </c>
      <c r="S14" s="176"/>
      <c r="T14" s="24"/>
    </row>
    <row r="15" spans="1:20" s="25" customFormat="1" ht="15">
      <c r="A15" s="154" t="s">
        <v>32</v>
      </c>
      <c r="B15" s="46" t="s">
        <v>18</v>
      </c>
      <c r="C15" s="174">
        <f>C14+C6</f>
        <v>11037</v>
      </c>
      <c r="D15" s="174">
        <f aca="true" t="shared" si="4" ref="D15:N15">D14+D6</f>
        <v>14239</v>
      </c>
      <c r="E15" s="174">
        <f t="shared" si="4"/>
        <v>11454</v>
      </c>
      <c r="F15" s="174">
        <f t="shared" si="4"/>
        <v>91035.7</v>
      </c>
      <c r="G15" s="174">
        <f t="shared" si="4"/>
        <v>211187.65</v>
      </c>
      <c r="H15" s="174">
        <f t="shared" si="4"/>
        <v>306756.75</v>
      </c>
      <c r="I15" s="174">
        <f t="shared" si="4"/>
        <v>365665.7</v>
      </c>
      <c r="J15" s="174">
        <f t="shared" si="4"/>
        <v>361531.365</v>
      </c>
      <c r="K15" s="174">
        <f t="shared" si="4"/>
        <v>306870.7</v>
      </c>
      <c r="L15" s="174">
        <f t="shared" si="4"/>
        <v>219705.1</v>
      </c>
      <c r="M15" s="174">
        <f t="shared" si="4"/>
        <v>27530</v>
      </c>
      <c r="N15" s="174">
        <f t="shared" si="4"/>
        <v>12597</v>
      </c>
      <c r="O15" s="158">
        <f t="shared" si="2"/>
        <v>1939609.965</v>
      </c>
      <c r="P15" s="158">
        <f>P14+P6</f>
        <v>1931401</v>
      </c>
      <c r="Q15" s="158">
        <v>1955112</v>
      </c>
      <c r="R15" s="159">
        <f>R14+R6</f>
        <v>2031881.11</v>
      </c>
      <c r="S15" s="176"/>
      <c r="T15" s="24"/>
    </row>
    <row r="16" spans="1:20" s="25" customFormat="1" ht="15">
      <c r="A16" s="154" t="s">
        <v>21</v>
      </c>
      <c r="B16" s="46" t="s">
        <v>30</v>
      </c>
      <c r="C16" s="174">
        <f>C13*0.94</f>
        <v>0</v>
      </c>
      <c r="D16" s="174">
        <f aca="true" t="shared" si="5" ref="D16:N16">D13*0.94</f>
        <v>0</v>
      </c>
      <c r="E16" s="174">
        <f t="shared" si="5"/>
        <v>0</v>
      </c>
      <c r="F16" s="174">
        <f t="shared" si="5"/>
        <v>94</v>
      </c>
      <c r="G16" s="174">
        <f t="shared" si="5"/>
        <v>893</v>
      </c>
      <c r="H16" s="174">
        <f t="shared" si="5"/>
        <v>235</v>
      </c>
      <c r="I16" s="174">
        <f t="shared" si="5"/>
        <v>94</v>
      </c>
      <c r="J16" s="174">
        <f t="shared" si="5"/>
        <v>89.3</v>
      </c>
      <c r="K16" s="174">
        <f t="shared" si="5"/>
        <v>94</v>
      </c>
      <c r="L16" s="174">
        <f t="shared" si="5"/>
        <v>282</v>
      </c>
      <c r="M16" s="174">
        <f t="shared" si="5"/>
        <v>0</v>
      </c>
      <c r="N16" s="174">
        <f t="shared" si="5"/>
        <v>0</v>
      </c>
      <c r="O16" s="181">
        <f t="shared" si="2"/>
        <v>1781.3</v>
      </c>
      <c r="P16" s="181">
        <v>3000</v>
      </c>
      <c r="Q16" s="181">
        <v>3511.04</v>
      </c>
      <c r="R16" s="182">
        <v>8900</v>
      </c>
      <c r="S16" s="176"/>
      <c r="T16" s="24"/>
    </row>
    <row r="17" spans="1:20" s="25" customFormat="1" ht="15">
      <c r="A17" s="172" t="s">
        <v>51</v>
      </c>
      <c r="B17" s="46" t="s">
        <v>30</v>
      </c>
      <c r="C17" s="174">
        <v>0</v>
      </c>
      <c r="D17" s="174">
        <v>0</v>
      </c>
      <c r="E17" s="174">
        <v>0</v>
      </c>
      <c r="F17" s="180">
        <v>115</v>
      </c>
      <c r="G17" s="180">
        <v>777</v>
      </c>
      <c r="H17" s="180">
        <v>810</v>
      </c>
      <c r="I17" s="180">
        <v>840</v>
      </c>
      <c r="J17" s="180">
        <v>827</v>
      </c>
      <c r="K17" s="180">
        <v>791</v>
      </c>
      <c r="L17" s="180">
        <v>670</v>
      </c>
      <c r="M17" s="174">
        <v>0</v>
      </c>
      <c r="N17" s="174">
        <v>0</v>
      </c>
      <c r="O17" s="181">
        <f t="shared" si="2"/>
        <v>4830</v>
      </c>
      <c r="P17" s="181">
        <v>4830</v>
      </c>
      <c r="Q17" s="181">
        <v>7500</v>
      </c>
      <c r="R17" s="182">
        <v>8900</v>
      </c>
      <c r="S17" s="176"/>
      <c r="T17" s="24"/>
    </row>
    <row r="18" spans="1:20" s="25" customFormat="1" ht="15">
      <c r="A18" s="183" t="s">
        <v>85</v>
      </c>
      <c r="B18" s="46"/>
      <c r="C18" s="174"/>
      <c r="D18" s="174"/>
      <c r="E18" s="174"/>
      <c r="F18" s="180"/>
      <c r="G18" s="180"/>
      <c r="H18" s="180"/>
      <c r="I18" s="180"/>
      <c r="J18" s="180"/>
      <c r="K18" s="180"/>
      <c r="L18" s="180"/>
      <c r="M18" s="174"/>
      <c r="N18" s="184">
        <v>90700</v>
      </c>
      <c r="O18" s="185">
        <f t="shared" si="2"/>
        <v>90700</v>
      </c>
      <c r="P18" s="185">
        <v>85000</v>
      </c>
      <c r="Q18" s="186">
        <v>85500</v>
      </c>
      <c r="R18" s="182">
        <v>0</v>
      </c>
      <c r="S18" s="176"/>
      <c r="T18" s="24"/>
    </row>
    <row r="19" spans="1:20" s="25" customFormat="1" ht="15">
      <c r="A19" s="183" t="s">
        <v>86</v>
      </c>
      <c r="B19" s="46"/>
      <c r="C19" s="174"/>
      <c r="D19" s="174"/>
      <c r="E19" s="174"/>
      <c r="F19" s="180"/>
      <c r="G19" s="180"/>
      <c r="H19" s="180"/>
      <c r="I19" s="180"/>
      <c r="J19" s="180"/>
      <c r="K19" s="180"/>
      <c r="L19" s="180"/>
      <c r="M19" s="174"/>
      <c r="N19" s="184">
        <v>47040</v>
      </c>
      <c r="O19" s="185">
        <f t="shared" si="2"/>
        <v>47040</v>
      </c>
      <c r="P19" s="185">
        <v>41000</v>
      </c>
      <c r="Q19" s="186">
        <v>40000</v>
      </c>
      <c r="R19" s="182">
        <v>0</v>
      </c>
      <c r="S19" s="176"/>
      <c r="T19" s="24"/>
    </row>
    <row r="20" spans="1:20" s="25" customFormat="1" ht="15">
      <c r="A20" s="183" t="s">
        <v>87</v>
      </c>
      <c r="B20" s="46"/>
      <c r="C20" s="174"/>
      <c r="D20" s="174"/>
      <c r="E20" s="174"/>
      <c r="F20" s="180"/>
      <c r="G20" s="180"/>
      <c r="H20" s="180"/>
      <c r="I20" s="180"/>
      <c r="J20" s="180"/>
      <c r="K20" s="180"/>
      <c r="L20" s="180"/>
      <c r="M20" s="174"/>
      <c r="N20" s="184">
        <v>6090</v>
      </c>
      <c r="O20" s="185">
        <f t="shared" si="2"/>
        <v>6090</v>
      </c>
      <c r="P20" s="185">
        <v>6700</v>
      </c>
      <c r="Q20" s="186">
        <v>6750</v>
      </c>
      <c r="R20" s="182">
        <v>0</v>
      </c>
      <c r="S20" s="176"/>
      <c r="T20" s="24"/>
    </row>
    <row r="21" spans="1:20" s="25" customFormat="1" ht="15">
      <c r="A21" s="183" t="s">
        <v>88</v>
      </c>
      <c r="B21" s="46"/>
      <c r="C21" s="174"/>
      <c r="D21" s="174"/>
      <c r="E21" s="174"/>
      <c r="F21" s="180"/>
      <c r="G21" s="180"/>
      <c r="H21" s="180"/>
      <c r="I21" s="180"/>
      <c r="J21" s="180"/>
      <c r="K21" s="180"/>
      <c r="L21" s="180"/>
      <c r="M21" s="174"/>
      <c r="N21" s="184">
        <v>1120</v>
      </c>
      <c r="O21" s="185">
        <f t="shared" si="2"/>
        <v>1120</v>
      </c>
      <c r="P21" s="185">
        <v>1600</v>
      </c>
      <c r="Q21" s="186">
        <v>1580</v>
      </c>
      <c r="R21" s="182">
        <v>0</v>
      </c>
      <c r="S21" s="176"/>
      <c r="T21" s="24"/>
    </row>
    <row r="22" spans="1:20" s="25" customFormat="1" ht="15">
      <c r="A22" s="183"/>
      <c r="B22" s="46"/>
      <c r="C22" s="174"/>
      <c r="D22" s="174"/>
      <c r="E22" s="174"/>
      <c r="F22" s="180"/>
      <c r="G22" s="180"/>
      <c r="H22" s="180"/>
      <c r="I22" s="180"/>
      <c r="J22" s="180"/>
      <c r="K22" s="180"/>
      <c r="L22" s="180"/>
      <c r="M22" s="174"/>
      <c r="N22" s="174"/>
      <c r="O22" s="181"/>
      <c r="P22" s="181"/>
      <c r="Q22" s="181"/>
      <c r="R22" s="182"/>
      <c r="S22" s="176"/>
      <c r="T22" s="24"/>
    </row>
    <row r="23" spans="1:20" s="25" customFormat="1" ht="15">
      <c r="A23" s="187" t="s">
        <v>23</v>
      </c>
      <c r="B23" s="49" t="s">
        <v>22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9">
        <v>0</v>
      </c>
      <c r="P23" s="190">
        <v>0</v>
      </c>
      <c r="Q23" s="190"/>
      <c r="R23" s="191">
        <v>0</v>
      </c>
      <c r="S23" s="192" t="s">
        <v>45</v>
      </c>
      <c r="T23" s="24"/>
    </row>
    <row r="24" spans="1:20" s="18" customFormat="1" ht="16.5">
      <c r="A24" s="160" t="s">
        <v>24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76"/>
      <c r="T24" s="19"/>
    </row>
    <row r="25" spans="1:20" s="18" customFormat="1" ht="16.5">
      <c r="A25" s="154" t="s">
        <v>17</v>
      </c>
      <c r="B25" s="46" t="s">
        <v>89</v>
      </c>
      <c r="C25" s="74" t="e">
        <f aca="true" t="shared" si="6" ref="C25:Q25">C6/C3</f>
        <v>#DIV/0!</v>
      </c>
      <c r="D25" s="74" t="e">
        <f t="shared" si="6"/>
        <v>#DIV/0!</v>
      </c>
      <c r="E25" s="74" t="e">
        <f t="shared" si="6"/>
        <v>#DIV/0!</v>
      </c>
      <c r="F25" s="74">
        <f t="shared" si="6"/>
        <v>83.24606845513414</v>
      </c>
      <c r="G25" s="74">
        <f t="shared" si="6"/>
        <v>36.2994227994228</v>
      </c>
      <c r="H25" s="74">
        <f t="shared" si="6"/>
        <v>42.68631578947368</v>
      </c>
      <c r="I25" s="74">
        <f t="shared" si="6"/>
        <v>47.230440414507775</v>
      </c>
      <c r="J25" s="74">
        <f t="shared" si="6"/>
        <v>46.431036703155186</v>
      </c>
      <c r="K25" s="74">
        <f t="shared" si="6"/>
        <v>40.91290969899666</v>
      </c>
      <c r="L25" s="74">
        <f t="shared" si="6"/>
        <v>36.354708746013095</v>
      </c>
      <c r="M25" s="74" t="e">
        <f t="shared" si="6"/>
        <v>#DIV/0!</v>
      </c>
      <c r="N25" s="74" t="e">
        <f t="shared" si="6"/>
        <v>#DIV/0!</v>
      </c>
      <c r="O25" s="74">
        <f t="shared" si="6"/>
        <v>44.99437504394497</v>
      </c>
      <c r="P25" s="74">
        <f t="shared" si="6"/>
        <v>43.27821055988338</v>
      </c>
      <c r="Q25" s="74">
        <f t="shared" si="6"/>
        <v>45.90484535594184</v>
      </c>
      <c r="R25" s="74">
        <f>R6/R3</f>
        <v>44.711910286156225</v>
      </c>
      <c r="S25" s="176" t="s">
        <v>36</v>
      </c>
      <c r="T25" s="19"/>
    </row>
    <row r="26" spans="1:20" s="18" customFormat="1" ht="16.5">
      <c r="A26" s="154" t="s">
        <v>19</v>
      </c>
      <c r="B26" s="45" t="s">
        <v>25</v>
      </c>
      <c r="C26" s="193" t="e">
        <f>C9/C4</f>
        <v>#DIV/0!</v>
      </c>
      <c r="D26" s="193" t="e">
        <f>D9/D4</f>
        <v>#DIV/0!</v>
      </c>
      <c r="E26" s="193" t="e">
        <f>E9/E4</f>
        <v>#DIV/0!</v>
      </c>
      <c r="F26" s="193">
        <f>F11/F4</f>
        <v>0.7620602103735945</v>
      </c>
      <c r="G26" s="193">
        <f>G11/G4</f>
        <v>0.3313057302827124</v>
      </c>
      <c r="H26" s="193">
        <f>H11/H4</f>
        <v>0.32127829560585885</v>
      </c>
      <c r="I26" s="193">
        <f aca="true" t="shared" si="7" ref="I26:N26">I9/I4</f>
        <v>0.2356175142352248</v>
      </c>
      <c r="J26" s="193">
        <f t="shared" si="7"/>
        <v>0.22527558439527792</v>
      </c>
      <c r="K26" s="193">
        <f t="shared" si="7"/>
        <v>0.20332161886407438</v>
      </c>
      <c r="L26" s="193">
        <f t="shared" si="7"/>
        <v>0.2699981915727289</v>
      </c>
      <c r="M26" s="193" t="e">
        <f t="shared" si="7"/>
        <v>#DIV/0!</v>
      </c>
      <c r="N26" s="193" t="e">
        <f t="shared" si="7"/>
        <v>#DIV/0!</v>
      </c>
      <c r="O26" s="193">
        <f>O11/O4</f>
        <v>0.306529679988786</v>
      </c>
      <c r="P26" s="74">
        <f>P11/P4</f>
        <v>0.3337821386243984</v>
      </c>
      <c r="Q26" s="74">
        <v>0.39</v>
      </c>
      <c r="R26" s="74">
        <f>R11/R4</f>
        <v>0.4136855697312749</v>
      </c>
      <c r="S26" s="153" t="s">
        <v>38</v>
      </c>
      <c r="T26" s="19"/>
    </row>
    <row r="27" spans="1:19" s="18" customFormat="1" ht="16.5">
      <c r="A27" s="154" t="s">
        <v>21</v>
      </c>
      <c r="B27" s="45" t="s">
        <v>90</v>
      </c>
      <c r="C27" s="193" t="e">
        <f aca="true" t="shared" si="8" ref="C27:R27">C13/C3</f>
        <v>#DIV/0!</v>
      </c>
      <c r="D27" s="193" t="e">
        <f t="shared" si="8"/>
        <v>#DIV/0!</v>
      </c>
      <c r="E27" s="193" t="e">
        <f t="shared" si="8"/>
        <v>#DIV/0!</v>
      </c>
      <c r="F27" s="193">
        <f t="shared" si="8"/>
        <v>0.09250693802035152</v>
      </c>
      <c r="G27" s="193">
        <f t="shared" si="8"/>
        <v>0.17135642135642135</v>
      </c>
      <c r="H27" s="193">
        <f t="shared" si="8"/>
        <v>0.03508771929824561</v>
      </c>
      <c r="I27" s="193">
        <f t="shared" si="8"/>
        <v>0.012953367875647668</v>
      </c>
      <c r="J27" s="193">
        <f t="shared" si="8"/>
        <v>0.012234385061171926</v>
      </c>
      <c r="K27" s="193">
        <f t="shared" si="8"/>
        <v>0.013377926421404682</v>
      </c>
      <c r="L27" s="193">
        <f t="shared" si="8"/>
        <v>0.05036091992613732</v>
      </c>
      <c r="M27" s="193" t="e">
        <f t="shared" si="8"/>
        <v>#DIV/0!</v>
      </c>
      <c r="N27" s="193" t="e">
        <f t="shared" si="8"/>
        <v>#DIV/0!</v>
      </c>
      <c r="O27" s="193">
        <f t="shared" si="8"/>
        <v>0.044413715517847514</v>
      </c>
      <c r="P27" s="74">
        <f t="shared" si="8"/>
        <v>0.06833401667350007</v>
      </c>
      <c r="Q27" s="74">
        <v>0.08</v>
      </c>
      <c r="R27" s="74">
        <f t="shared" si="8"/>
        <v>0.1439879896274055</v>
      </c>
      <c r="S27" s="153" t="s">
        <v>41</v>
      </c>
    </row>
    <row r="28" spans="1:19" s="18" customFormat="1" ht="16.5">
      <c r="A28" s="154" t="s">
        <v>32</v>
      </c>
      <c r="B28" s="45" t="s">
        <v>33</v>
      </c>
      <c r="C28" s="193" t="e">
        <f aca="true" t="shared" si="9" ref="C28:R28">C15/C4</f>
        <v>#DIV/0!</v>
      </c>
      <c r="D28" s="193" t="e">
        <f t="shared" si="9"/>
        <v>#DIV/0!</v>
      </c>
      <c r="E28" s="193" t="e">
        <f t="shared" si="9"/>
        <v>#DIV/0!</v>
      </c>
      <c r="F28" s="193">
        <f t="shared" si="9"/>
        <v>33.019840406238664</v>
      </c>
      <c r="G28" s="193">
        <f t="shared" si="9"/>
        <v>14.597888297504666</v>
      </c>
      <c r="H28" s="193">
        <f t="shared" si="9"/>
        <v>16.338575233022638</v>
      </c>
      <c r="I28" s="193">
        <f t="shared" si="9"/>
        <v>14.359540545847242</v>
      </c>
      <c r="J28" s="193">
        <f t="shared" si="9"/>
        <v>14.132255687592838</v>
      </c>
      <c r="K28" s="193">
        <f t="shared" si="9"/>
        <v>17.394326040131507</v>
      </c>
      <c r="L28" s="193">
        <f t="shared" si="9"/>
        <v>13.24402314786907</v>
      </c>
      <c r="M28" s="193" t="e">
        <f t="shared" si="9"/>
        <v>#DIV/0!</v>
      </c>
      <c r="N28" s="193" t="e">
        <f t="shared" si="9"/>
        <v>#DIV/0!</v>
      </c>
      <c r="O28" s="193">
        <f t="shared" si="9"/>
        <v>15.993221839260537</v>
      </c>
      <c r="P28" s="74">
        <f t="shared" si="9"/>
        <v>15.571670442543518</v>
      </c>
      <c r="Q28" s="74">
        <v>16.49</v>
      </c>
      <c r="R28" s="74">
        <f t="shared" si="9"/>
        <v>16.500979478142234</v>
      </c>
      <c r="S28" s="176" t="s">
        <v>42</v>
      </c>
    </row>
    <row r="29" spans="1:19" s="18" customFormat="1" ht="16.5">
      <c r="A29" s="194" t="s">
        <v>26</v>
      </c>
      <c r="B29" s="49" t="s">
        <v>22</v>
      </c>
      <c r="C29" s="195" t="e">
        <f aca="true" t="shared" si="10" ref="C29:O29">C23/C4</f>
        <v>#DIV/0!</v>
      </c>
      <c r="D29" s="195" t="e">
        <f t="shared" si="10"/>
        <v>#DIV/0!</v>
      </c>
      <c r="E29" s="195" t="e">
        <f t="shared" si="10"/>
        <v>#DIV/0!</v>
      </c>
      <c r="F29" s="195">
        <f t="shared" si="10"/>
        <v>0</v>
      </c>
      <c r="G29" s="195">
        <f t="shared" si="10"/>
        <v>0</v>
      </c>
      <c r="H29" s="195">
        <f t="shared" si="10"/>
        <v>0</v>
      </c>
      <c r="I29" s="195">
        <f t="shared" si="10"/>
        <v>0</v>
      </c>
      <c r="J29" s="195">
        <f t="shared" si="10"/>
        <v>0</v>
      </c>
      <c r="K29" s="195">
        <f t="shared" si="10"/>
        <v>0</v>
      </c>
      <c r="L29" s="195">
        <f t="shared" si="10"/>
        <v>0</v>
      </c>
      <c r="M29" s="195" t="e">
        <f t="shared" si="10"/>
        <v>#DIV/0!</v>
      </c>
      <c r="N29" s="195" t="e">
        <f t="shared" si="10"/>
        <v>#DIV/0!</v>
      </c>
      <c r="O29" s="195">
        <f t="shared" si="10"/>
        <v>0</v>
      </c>
      <c r="P29" s="195">
        <v>0</v>
      </c>
      <c r="Q29" s="195"/>
      <c r="R29" s="195">
        <v>0</v>
      </c>
      <c r="S29" s="196" t="s">
        <v>45</v>
      </c>
    </row>
    <row r="30" spans="1:20" ht="16.5">
      <c r="A30" s="183" t="s">
        <v>85</v>
      </c>
      <c r="B30" s="142" t="s">
        <v>92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8">
        <f>O18/O4</f>
        <v>0.7478747000667892</v>
      </c>
      <c r="P30" s="198">
        <v>0.6</v>
      </c>
      <c r="Q30" s="208">
        <v>0.7141544578272999</v>
      </c>
      <c r="R30" s="199"/>
      <c r="S30" s="197"/>
      <c r="T30" s="18"/>
    </row>
    <row r="31" spans="1:19" ht="15">
      <c r="A31" s="183" t="s">
        <v>86</v>
      </c>
      <c r="B31" s="142" t="s">
        <v>92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200">
        <f>O19/O4</f>
        <v>0.3878723913025553</v>
      </c>
      <c r="P31" s="200">
        <v>0.39</v>
      </c>
      <c r="Q31" s="209">
        <v>0.33410734869113445</v>
      </c>
      <c r="R31" s="164"/>
      <c r="S31" s="163"/>
    </row>
    <row r="32" spans="1:19" ht="16.5">
      <c r="A32" s="183" t="s">
        <v>87</v>
      </c>
      <c r="B32" s="142" t="s">
        <v>92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200">
        <f>O20/O4</f>
        <v>0.05021562208827725</v>
      </c>
      <c r="P32" s="200">
        <v>0.06</v>
      </c>
      <c r="Q32" s="209">
        <v>0.05638061509162894</v>
      </c>
      <c r="R32" s="164"/>
      <c r="S32" s="163"/>
    </row>
    <row r="33" spans="1:19" ht="16.5">
      <c r="A33" s="183" t="s">
        <v>88</v>
      </c>
      <c r="B33" s="142" t="s">
        <v>92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200">
        <f>O21/O4</f>
        <v>0.009235056935775126</v>
      </c>
      <c r="P33" s="200">
        <v>0.02</v>
      </c>
      <c r="Q33" s="209">
        <v>0.01319724027329981</v>
      </c>
      <c r="R33" s="164"/>
      <c r="S33" s="163"/>
    </row>
    <row r="34" spans="13:19" ht="15">
      <c r="M34" s="22"/>
      <c r="S34" s="22"/>
    </row>
    <row r="35" spans="13:19" ht="15">
      <c r="M35" s="22"/>
      <c r="S35" s="22"/>
    </row>
    <row r="36" spans="13:19" ht="15">
      <c r="M36" s="22"/>
      <c r="N36" s="29"/>
      <c r="O36" s="29"/>
      <c r="P36" s="31"/>
      <c r="Q36" s="31"/>
      <c r="R36" s="72"/>
      <c r="S36" s="30"/>
    </row>
    <row r="37" ht="15">
      <c r="S37" s="22"/>
    </row>
    <row r="38" ht="15">
      <c r="S38" s="22"/>
    </row>
  </sheetData>
  <sheetProtection/>
  <mergeCells count="2">
    <mergeCell ref="A1:O1"/>
    <mergeCell ref="B3:B4"/>
  </mergeCells>
  <printOptions/>
  <pageMargins left="0.16" right="0.17" top="0.34" bottom="0.37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zoomScale="96" zoomScaleNormal="96" zoomScalePageLayoutView="0" workbookViewId="0" topLeftCell="A16">
      <pane xSplit="1" topLeftCell="G1" activePane="topRight" state="frozen"/>
      <selection pane="topLeft" activeCell="A1" sqref="A1"/>
      <selection pane="topRight" activeCell="P29" sqref="P29:P32"/>
    </sheetView>
  </sheetViews>
  <sheetFormatPr defaultColWidth="9.140625" defaultRowHeight="15"/>
  <cols>
    <col min="1" max="1" width="26.57421875" style="33" customWidth="1"/>
    <col min="2" max="2" width="10.7109375" style="34" customWidth="1"/>
    <col min="3" max="5" width="11.8515625" style="35" bestFit="1" customWidth="1"/>
    <col min="6" max="9" width="13.140625" style="35" bestFit="1" customWidth="1"/>
    <col min="10" max="10" width="14.7109375" style="35" customWidth="1"/>
    <col min="11" max="11" width="13.00390625" style="35" customWidth="1"/>
    <col min="12" max="12" width="14.57421875" style="35" customWidth="1"/>
    <col min="13" max="13" width="11.8515625" style="35" customWidth="1"/>
    <col min="14" max="14" width="11.28125" style="35" customWidth="1"/>
    <col min="15" max="15" width="14.421875" style="35" bestFit="1" customWidth="1"/>
    <col min="16" max="16" width="14.28125" style="66" customWidth="1"/>
    <col min="17" max="17" width="14.8515625" style="66" customWidth="1"/>
    <col min="18" max="18" width="19.28125" style="36" customWidth="1"/>
    <col min="19" max="19" width="10.00390625" style="32" bestFit="1" customWidth="1"/>
    <col min="20" max="16384" width="9.140625" style="32" customWidth="1"/>
  </cols>
  <sheetData>
    <row r="1" spans="1:19" s="18" customFormat="1" ht="15.75">
      <c r="A1" s="240" t="s">
        <v>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88"/>
      <c r="Q1" s="89"/>
      <c r="R1" s="90"/>
      <c r="S1" s="19"/>
    </row>
    <row r="2" spans="1:18" s="18" customFormat="1" ht="32.25" customHeight="1">
      <c r="A2" s="91" t="s">
        <v>29</v>
      </c>
      <c r="B2" s="92" t="s">
        <v>0</v>
      </c>
      <c r="C2" s="92" t="s">
        <v>1</v>
      </c>
      <c r="D2" s="92" t="s">
        <v>2</v>
      </c>
      <c r="E2" s="92" t="s">
        <v>3</v>
      </c>
      <c r="F2" s="93" t="s">
        <v>4</v>
      </c>
      <c r="G2" s="93" t="s">
        <v>5</v>
      </c>
      <c r="H2" s="93" t="s">
        <v>6</v>
      </c>
      <c r="I2" s="93" t="s">
        <v>7</v>
      </c>
      <c r="J2" s="93" t="s">
        <v>8</v>
      </c>
      <c r="K2" s="93" t="s">
        <v>9</v>
      </c>
      <c r="L2" s="93" t="s">
        <v>10</v>
      </c>
      <c r="M2" s="93" t="s">
        <v>11</v>
      </c>
      <c r="N2" s="93" t="s">
        <v>12</v>
      </c>
      <c r="O2" s="94" t="s">
        <v>35</v>
      </c>
      <c r="P2" s="94" t="s">
        <v>43</v>
      </c>
      <c r="Q2" s="95" t="s">
        <v>44</v>
      </c>
      <c r="R2" s="96"/>
    </row>
    <row r="3" spans="1:19" s="18" customFormat="1" ht="18">
      <c r="A3" s="97" t="s">
        <v>13</v>
      </c>
      <c r="B3" s="242" t="s">
        <v>14</v>
      </c>
      <c r="C3" s="98">
        <v>0</v>
      </c>
      <c r="D3" s="98">
        <v>0</v>
      </c>
      <c r="E3" s="98">
        <v>0</v>
      </c>
      <c r="F3" s="98">
        <v>1015</v>
      </c>
      <c r="G3" s="98">
        <v>6068</v>
      </c>
      <c r="H3" s="98">
        <v>7188</v>
      </c>
      <c r="I3" s="99">
        <v>7663</v>
      </c>
      <c r="J3" s="98">
        <v>7696</v>
      </c>
      <c r="K3" s="98">
        <v>7223</v>
      </c>
      <c r="L3" s="98">
        <v>5373</v>
      </c>
      <c r="M3" s="98"/>
      <c r="N3" s="98"/>
      <c r="O3" s="100">
        <f>SUM(C3:N3)</f>
        <v>42226</v>
      </c>
      <c r="P3" s="101">
        <v>41350</v>
      </c>
      <c r="Q3" s="102">
        <v>43962</v>
      </c>
      <c r="R3" s="96"/>
      <c r="S3" s="19"/>
    </row>
    <row r="4" spans="1:19" s="18" customFormat="1" ht="18">
      <c r="A4" s="97" t="s">
        <v>15</v>
      </c>
      <c r="B4" s="242"/>
      <c r="C4" s="98">
        <v>0</v>
      </c>
      <c r="D4" s="98">
        <v>0</v>
      </c>
      <c r="E4" s="98">
        <v>0</v>
      </c>
      <c r="F4" s="98">
        <v>2632</v>
      </c>
      <c r="G4" s="98">
        <v>14938</v>
      </c>
      <c r="H4" s="98">
        <v>19684</v>
      </c>
      <c r="I4" s="99">
        <v>24878</v>
      </c>
      <c r="J4" s="98">
        <v>24757</v>
      </c>
      <c r="K4" s="98">
        <v>17915</v>
      </c>
      <c r="L4" s="98">
        <v>14918</v>
      </c>
      <c r="M4" s="98"/>
      <c r="N4" s="98"/>
      <c r="O4" s="100">
        <f>SUM(C4:N4)</f>
        <v>119722</v>
      </c>
      <c r="P4" s="101">
        <v>117960</v>
      </c>
      <c r="Q4" s="102">
        <v>123137</v>
      </c>
      <c r="R4" s="96"/>
      <c r="S4" s="19"/>
    </row>
    <row r="5" spans="1:19" s="18" customFormat="1" ht="18">
      <c r="A5" s="103" t="s">
        <v>16</v>
      </c>
      <c r="B5" s="92"/>
      <c r="C5" s="98"/>
      <c r="D5" s="98"/>
      <c r="E5" s="98"/>
      <c r="F5" s="104"/>
      <c r="G5" s="104"/>
      <c r="H5" s="104"/>
      <c r="I5" s="104"/>
      <c r="J5" s="104"/>
      <c r="K5" s="104"/>
      <c r="L5" s="104"/>
      <c r="M5" s="104"/>
      <c r="N5" s="105"/>
      <c r="O5" s="106"/>
      <c r="P5" s="107"/>
      <c r="Q5" s="107"/>
      <c r="R5" s="96"/>
      <c r="S5" s="19"/>
    </row>
    <row r="6" spans="1:19" s="25" customFormat="1" ht="18">
      <c r="A6" s="97" t="s">
        <v>17</v>
      </c>
      <c r="B6" s="92" t="s">
        <v>18</v>
      </c>
      <c r="C6" s="108">
        <v>12482</v>
      </c>
      <c r="D6" s="108">
        <v>13288</v>
      </c>
      <c r="E6" s="108">
        <v>14798</v>
      </c>
      <c r="F6" s="108">
        <v>77120</v>
      </c>
      <c r="G6" s="108">
        <v>200762</v>
      </c>
      <c r="H6" s="108">
        <v>300308</v>
      </c>
      <c r="I6" s="108">
        <v>359180</v>
      </c>
      <c r="J6" s="109">
        <v>383310</v>
      </c>
      <c r="K6" s="109">
        <v>330863</v>
      </c>
      <c r="L6" s="109">
        <v>209196</v>
      </c>
      <c r="M6" s="109">
        <v>26034</v>
      </c>
      <c r="N6" s="109">
        <v>11037</v>
      </c>
      <c r="O6" s="109">
        <f aca="true" t="shared" si="0" ref="O6:O11">SUM(C6:N6)</f>
        <v>1938378</v>
      </c>
      <c r="P6" s="110">
        <v>1800000</v>
      </c>
      <c r="Q6" s="110">
        <v>1965625</v>
      </c>
      <c r="R6" s="96" t="s">
        <v>36</v>
      </c>
      <c r="S6" s="24">
        <f>P6/P3</f>
        <v>43.53083434099153</v>
      </c>
    </row>
    <row r="7" spans="1:19" s="25" customFormat="1" ht="18">
      <c r="A7" s="97" t="s">
        <v>17</v>
      </c>
      <c r="B7" s="92" t="s">
        <v>30</v>
      </c>
      <c r="C7" s="111">
        <v>1630</v>
      </c>
      <c r="D7" s="111">
        <v>2154</v>
      </c>
      <c r="E7" s="111">
        <v>2520</v>
      </c>
      <c r="F7" s="111">
        <v>11607.3</v>
      </c>
      <c r="G7" s="111">
        <v>24955.7</v>
      </c>
      <c r="H7" s="111">
        <v>37083</v>
      </c>
      <c r="I7" s="111">
        <v>44286</v>
      </c>
      <c r="J7" s="112">
        <v>46937</v>
      </c>
      <c r="K7" s="112">
        <v>41055</v>
      </c>
      <c r="L7" s="112">
        <v>25393</v>
      </c>
      <c r="M7" s="112">
        <v>4636</v>
      </c>
      <c r="N7" s="112">
        <v>1519</v>
      </c>
      <c r="O7" s="109">
        <f t="shared" si="0"/>
        <v>243776</v>
      </c>
      <c r="P7" s="110">
        <v>227425</v>
      </c>
      <c r="Q7" s="110">
        <v>252347</v>
      </c>
      <c r="R7" s="96" t="s">
        <v>36</v>
      </c>
      <c r="S7" s="24">
        <f>P6/P4</f>
        <v>15.25940996948118</v>
      </c>
    </row>
    <row r="8" spans="1:19" s="25" customFormat="1" ht="18">
      <c r="A8" s="113" t="s">
        <v>31</v>
      </c>
      <c r="B8" s="92" t="s">
        <v>30</v>
      </c>
      <c r="C8" s="111">
        <v>0</v>
      </c>
      <c r="D8" s="111">
        <v>0</v>
      </c>
      <c r="E8" s="111">
        <v>0</v>
      </c>
      <c r="F8" s="111">
        <v>3300</v>
      </c>
      <c r="G8" s="111">
        <v>34375</v>
      </c>
      <c r="H8" s="111">
        <v>40150</v>
      </c>
      <c r="I8" s="111">
        <v>42625</v>
      </c>
      <c r="J8" s="112">
        <v>42625</v>
      </c>
      <c r="K8" s="112">
        <v>38775</v>
      </c>
      <c r="L8" s="112">
        <v>25575</v>
      </c>
      <c r="M8" s="112">
        <v>0</v>
      </c>
      <c r="N8" s="112">
        <v>0</v>
      </c>
      <c r="O8" s="112">
        <f t="shared" si="0"/>
        <v>227425</v>
      </c>
      <c r="P8" s="114">
        <v>227425</v>
      </c>
      <c r="Q8" s="114">
        <v>250000</v>
      </c>
      <c r="R8" s="96" t="s">
        <v>36</v>
      </c>
      <c r="S8" s="24"/>
    </row>
    <row r="9" spans="1:19" s="25" customFormat="1" ht="18">
      <c r="A9" s="97" t="s">
        <v>48</v>
      </c>
      <c r="B9" s="115" t="s">
        <v>20</v>
      </c>
      <c r="C9" s="116">
        <v>500</v>
      </c>
      <c r="D9" s="116">
        <v>500</v>
      </c>
      <c r="E9" s="116">
        <v>1000</v>
      </c>
      <c r="F9" s="116">
        <v>1606</v>
      </c>
      <c r="G9" s="116">
        <v>2592</v>
      </c>
      <c r="H9" s="116">
        <v>8903</v>
      </c>
      <c r="I9" s="116">
        <v>9540</v>
      </c>
      <c r="J9" s="116">
        <v>10429</v>
      </c>
      <c r="K9" s="116">
        <v>3119</v>
      </c>
      <c r="L9" s="116">
        <v>4571</v>
      </c>
      <c r="M9" s="117">
        <v>394</v>
      </c>
      <c r="N9" s="117">
        <v>200</v>
      </c>
      <c r="O9" s="101">
        <f t="shared" si="0"/>
        <v>43354</v>
      </c>
      <c r="P9" s="101">
        <v>46000</v>
      </c>
      <c r="Q9" s="102">
        <v>49194</v>
      </c>
      <c r="R9" s="118" t="s">
        <v>37</v>
      </c>
      <c r="S9" s="24">
        <f>P11/P3</f>
        <v>1.1463119709794438</v>
      </c>
    </row>
    <row r="10" spans="1:19" s="25" customFormat="1" ht="18">
      <c r="A10" s="97" t="s">
        <v>49</v>
      </c>
      <c r="B10" s="115" t="s">
        <v>20</v>
      </c>
      <c r="C10" s="116">
        <v>150</v>
      </c>
      <c r="D10" s="116">
        <v>150</v>
      </c>
      <c r="E10" s="116">
        <v>150</v>
      </c>
      <c r="F10" s="116">
        <v>340</v>
      </c>
      <c r="G10" s="116">
        <v>73</v>
      </c>
      <c r="H10" s="116">
        <v>82</v>
      </c>
      <c r="I10" s="116">
        <v>643</v>
      </c>
      <c r="J10" s="116">
        <v>800</v>
      </c>
      <c r="K10" s="116">
        <v>608</v>
      </c>
      <c r="L10" s="116">
        <v>371</v>
      </c>
      <c r="M10" s="117">
        <v>153</v>
      </c>
      <c r="N10" s="117">
        <v>50</v>
      </c>
      <c r="O10" s="101">
        <f t="shared" si="0"/>
        <v>3570</v>
      </c>
      <c r="P10" s="101">
        <v>1400</v>
      </c>
      <c r="Q10" s="102">
        <v>1747</v>
      </c>
      <c r="R10" s="118" t="s">
        <v>38</v>
      </c>
      <c r="S10" s="24">
        <f>P11/P4</f>
        <v>0.40183112919633773</v>
      </c>
    </row>
    <row r="11" spans="1:19" s="25" customFormat="1" ht="18">
      <c r="A11" s="97" t="s">
        <v>50</v>
      </c>
      <c r="B11" s="119" t="s">
        <v>20</v>
      </c>
      <c r="C11" s="120">
        <f aca="true" t="shared" si="1" ref="C11:H11">SUM(C9:C10)</f>
        <v>650</v>
      </c>
      <c r="D11" s="120">
        <f t="shared" si="1"/>
        <v>650</v>
      </c>
      <c r="E11" s="120">
        <f t="shared" si="1"/>
        <v>1150</v>
      </c>
      <c r="F11" s="120">
        <f t="shared" si="1"/>
        <v>1946</v>
      </c>
      <c r="G11" s="120">
        <f t="shared" si="1"/>
        <v>2665</v>
      </c>
      <c r="H11" s="120">
        <f t="shared" si="1"/>
        <v>8985</v>
      </c>
      <c r="I11" s="120">
        <f aca="true" t="shared" si="2" ref="I11:N11">SUM(I9:I10)</f>
        <v>10183</v>
      </c>
      <c r="J11" s="120">
        <f t="shared" si="2"/>
        <v>11229</v>
      </c>
      <c r="K11" s="120">
        <f t="shared" si="2"/>
        <v>3727</v>
      </c>
      <c r="L11" s="120">
        <f t="shared" si="2"/>
        <v>4942</v>
      </c>
      <c r="M11" s="120">
        <f t="shared" si="2"/>
        <v>547</v>
      </c>
      <c r="N11" s="120">
        <f t="shared" si="2"/>
        <v>250</v>
      </c>
      <c r="O11" s="121">
        <f t="shared" si="0"/>
        <v>46924</v>
      </c>
      <c r="P11" s="101">
        <f>SUM(P9:P10)</f>
        <v>47400</v>
      </c>
      <c r="Q11" s="102">
        <v>50940</v>
      </c>
      <c r="R11" s="122" t="s">
        <v>39</v>
      </c>
      <c r="S11" s="24"/>
    </row>
    <row r="12" spans="1:19" s="25" customFormat="1" ht="18">
      <c r="A12" s="113" t="s">
        <v>34</v>
      </c>
      <c r="B12" s="115" t="s">
        <v>30</v>
      </c>
      <c r="C12" s="116"/>
      <c r="D12" s="116"/>
      <c r="E12" s="123">
        <v>3000</v>
      </c>
      <c r="F12" s="123">
        <v>3796</v>
      </c>
      <c r="G12" s="123">
        <v>5425</v>
      </c>
      <c r="H12" s="123">
        <v>5425</v>
      </c>
      <c r="I12" s="123">
        <v>3807</v>
      </c>
      <c r="J12" s="123">
        <v>2139</v>
      </c>
      <c r="K12" s="116"/>
      <c r="L12" s="116"/>
      <c r="M12" s="117"/>
      <c r="N12" s="117"/>
      <c r="O12" s="123">
        <f>SUM(E12:J12)</f>
        <v>23592</v>
      </c>
      <c r="P12" s="114">
        <v>23592</v>
      </c>
      <c r="Q12" s="114">
        <v>25000</v>
      </c>
      <c r="R12" s="118" t="s">
        <v>40</v>
      </c>
      <c r="S12" s="24"/>
    </row>
    <row r="13" spans="1:19" s="25" customFormat="1" ht="18">
      <c r="A13" s="97" t="s">
        <v>21</v>
      </c>
      <c r="B13" s="115" t="s">
        <v>22</v>
      </c>
      <c r="C13" s="116">
        <v>0</v>
      </c>
      <c r="D13" s="116">
        <v>0</v>
      </c>
      <c r="E13" s="116">
        <v>0</v>
      </c>
      <c r="F13" s="116">
        <v>161</v>
      </c>
      <c r="G13" s="116">
        <v>465</v>
      </c>
      <c r="H13" s="116">
        <v>1545</v>
      </c>
      <c r="I13" s="116">
        <v>605</v>
      </c>
      <c r="J13" s="116">
        <v>150</v>
      </c>
      <c r="K13" s="116">
        <v>300</v>
      </c>
      <c r="L13" s="116">
        <v>150</v>
      </c>
      <c r="M13" s="116"/>
      <c r="N13" s="116"/>
      <c r="O13" s="101">
        <f aca="true" t="shared" si="3" ref="O13:O21">SUM(C13:N13)</f>
        <v>3376</v>
      </c>
      <c r="P13" s="101">
        <v>5500</v>
      </c>
      <c r="Q13" s="102">
        <v>6330</v>
      </c>
      <c r="R13" s="118" t="s">
        <v>41</v>
      </c>
      <c r="S13" s="24"/>
    </row>
    <row r="14" spans="1:19" s="25" customFormat="1" ht="18">
      <c r="A14" s="97" t="s">
        <v>21</v>
      </c>
      <c r="B14" s="115" t="s">
        <v>18</v>
      </c>
      <c r="C14" s="116">
        <v>0</v>
      </c>
      <c r="D14" s="116">
        <v>0</v>
      </c>
      <c r="E14" s="116">
        <v>0</v>
      </c>
      <c r="F14" s="116">
        <f aca="true" t="shared" si="4" ref="F14:L14">F13*10.467</f>
        <v>1685.1870000000001</v>
      </c>
      <c r="G14" s="116">
        <f t="shared" si="4"/>
        <v>4867.155000000001</v>
      </c>
      <c r="H14" s="116">
        <f t="shared" si="4"/>
        <v>16171.515000000001</v>
      </c>
      <c r="I14" s="116">
        <f t="shared" si="4"/>
        <v>6332.535000000001</v>
      </c>
      <c r="J14" s="116">
        <f t="shared" si="4"/>
        <v>1570.0500000000002</v>
      </c>
      <c r="K14" s="116">
        <f t="shared" si="4"/>
        <v>3140.1000000000004</v>
      </c>
      <c r="L14" s="116">
        <f t="shared" si="4"/>
        <v>1570.0500000000002</v>
      </c>
      <c r="M14" s="116"/>
      <c r="N14" s="116"/>
      <c r="O14" s="101">
        <f t="shared" si="3"/>
        <v>35336.592000000004</v>
      </c>
      <c r="P14" s="101">
        <f>P13*10.467</f>
        <v>57568.5</v>
      </c>
      <c r="Q14" s="102">
        <f>Q13*10.467</f>
        <v>66256.11</v>
      </c>
      <c r="R14" s="118"/>
      <c r="S14" s="24"/>
    </row>
    <row r="15" spans="1:19" s="25" customFormat="1" ht="18">
      <c r="A15" s="97" t="s">
        <v>32</v>
      </c>
      <c r="B15" s="115" t="s">
        <v>18</v>
      </c>
      <c r="C15" s="116">
        <f aca="true" t="shared" si="5" ref="C15:N15">C6+C14</f>
        <v>12482</v>
      </c>
      <c r="D15" s="116">
        <f t="shared" si="5"/>
        <v>13288</v>
      </c>
      <c r="E15" s="116">
        <f t="shared" si="5"/>
        <v>14798</v>
      </c>
      <c r="F15" s="116">
        <f t="shared" si="5"/>
        <v>78805.187</v>
      </c>
      <c r="G15" s="116">
        <f>G6+G14</f>
        <v>205629.155</v>
      </c>
      <c r="H15" s="116">
        <f>H6+H14</f>
        <v>316479.515</v>
      </c>
      <c r="I15" s="116">
        <f t="shared" si="5"/>
        <v>365512.535</v>
      </c>
      <c r="J15" s="116">
        <f t="shared" si="5"/>
        <v>384880.05</v>
      </c>
      <c r="K15" s="116">
        <f t="shared" si="5"/>
        <v>334003.1</v>
      </c>
      <c r="L15" s="116">
        <f t="shared" si="5"/>
        <v>210766.05</v>
      </c>
      <c r="M15" s="116">
        <f t="shared" si="5"/>
        <v>26034</v>
      </c>
      <c r="N15" s="116">
        <f t="shared" si="5"/>
        <v>11037</v>
      </c>
      <c r="O15" s="101">
        <f t="shared" si="3"/>
        <v>1973714.592</v>
      </c>
      <c r="P15" s="101">
        <f>P14+P6</f>
        <v>1857568.5</v>
      </c>
      <c r="Q15" s="102">
        <f>Q14+Q6</f>
        <v>2031881.11</v>
      </c>
      <c r="R15" s="118"/>
      <c r="S15" s="24"/>
    </row>
    <row r="16" spans="1:19" s="25" customFormat="1" ht="18">
      <c r="A16" s="97" t="s">
        <v>21</v>
      </c>
      <c r="B16" s="115" t="s">
        <v>30</v>
      </c>
      <c r="C16" s="116"/>
      <c r="D16" s="116"/>
      <c r="E16" s="116"/>
      <c r="F16" s="123">
        <f>F13*1.04</f>
        <v>167.44</v>
      </c>
      <c r="G16" s="123">
        <f aca="true" t="shared" si="6" ref="G16:L16">G13*1.04</f>
        <v>483.6</v>
      </c>
      <c r="H16" s="123">
        <f t="shared" si="6"/>
        <v>1606.8</v>
      </c>
      <c r="I16" s="123">
        <f t="shared" si="6"/>
        <v>629.2</v>
      </c>
      <c r="J16" s="123">
        <f t="shared" si="6"/>
        <v>156</v>
      </c>
      <c r="K16" s="123">
        <f t="shared" si="6"/>
        <v>312</v>
      </c>
      <c r="L16" s="123">
        <f t="shared" si="6"/>
        <v>156</v>
      </c>
      <c r="M16" s="116"/>
      <c r="N16" s="116"/>
      <c r="O16" s="124">
        <f t="shared" si="3"/>
        <v>3511.04</v>
      </c>
      <c r="P16" s="124">
        <v>7700</v>
      </c>
      <c r="Q16" s="125">
        <v>8900</v>
      </c>
      <c r="R16" s="118"/>
      <c r="S16" s="24"/>
    </row>
    <row r="17" spans="1:19" s="25" customFormat="1" ht="18">
      <c r="A17" s="113" t="s">
        <v>51</v>
      </c>
      <c r="B17" s="115" t="s">
        <v>30</v>
      </c>
      <c r="C17" s="116"/>
      <c r="D17" s="116"/>
      <c r="E17" s="116"/>
      <c r="F17" s="123">
        <v>1700</v>
      </c>
      <c r="G17" s="123">
        <v>800</v>
      </c>
      <c r="H17" s="123">
        <v>1600</v>
      </c>
      <c r="I17" s="123">
        <v>1000</v>
      </c>
      <c r="J17" s="123">
        <v>1000</v>
      </c>
      <c r="K17" s="123">
        <v>1000</v>
      </c>
      <c r="L17" s="123">
        <v>400</v>
      </c>
      <c r="M17" s="116"/>
      <c r="N17" s="116"/>
      <c r="O17" s="124">
        <f t="shared" si="3"/>
        <v>7500</v>
      </c>
      <c r="P17" s="124">
        <v>7700</v>
      </c>
      <c r="Q17" s="125">
        <v>8900</v>
      </c>
      <c r="R17" s="118"/>
      <c r="S17" s="24"/>
    </row>
    <row r="18" spans="1:19" s="25" customFormat="1" ht="18">
      <c r="A18" s="135" t="s">
        <v>85</v>
      </c>
      <c r="B18" s="115"/>
      <c r="C18" s="116"/>
      <c r="D18" s="116"/>
      <c r="E18" s="116"/>
      <c r="F18" s="123"/>
      <c r="G18" s="123"/>
      <c r="H18" s="123"/>
      <c r="I18" s="123"/>
      <c r="J18" s="123"/>
      <c r="K18" s="123"/>
      <c r="L18" s="123"/>
      <c r="M18" s="116"/>
      <c r="N18" s="136">
        <v>85500</v>
      </c>
      <c r="O18" s="137">
        <f t="shared" si="3"/>
        <v>85500</v>
      </c>
      <c r="P18" s="124">
        <v>86000</v>
      </c>
      <c r="Q18" s="125">
        <v>0</v>
      </c>
      <c r="R18" s="118"/>
      <c r="S18" s="24"/>
    </row>
    <row r="19" spans="1:19" s="25" customFormat="1" ht="18">
      <c r="A19" s="135" t="s">
        <v>86</v>
      </c>
      <c r="B19" s="115"/>
      <c r="C19" s="116"/>
      <c r="D19" s="116"/>
      <c r="E19" s="116"/>
      <c r="F19" s="123"/>
      <c r="G19" s="123"/>
      <c r="H19" s="123"/>
      <c r="I19" s="123"/>
      <c r="J19" s="123"/>
      <c r="K19" s="123"/>
      <c r="L19" s="123"/>
      <c r="M19" s="116"/>
      <c r="N19" s="136">
        <v>40000</v>
      </c>
      <c r="O19" s="137">
        <f t="shared" si="3"/>
        <v>40000</v>
      </c>
      <c r="P19" s="124">
        <v>42000</v>
      </c>
      <c r="Q19" s="125">
        <v>0</v>
      </c>
      <c r="R19" s="118"/>
      <c r="S19" s="24"/>
    </row>
    <row r="20" spans="1:19" s="25" customFormat="1" ht="18">
      <c r="A20" s="135" t="s">
        <v>87</v>
      </c>
      <c r="B20" s="115"/>
      <c r="C20" s="116"/>
      <c r="D20" s="116"/>
      <c r="E20" s="116"/>
      <c r="F20" s="123"/>
      <c r="G20" s="123"/>
      <c r="H20" s="123"/>
      <c r="I20" s="123"/>
      <c r="J20" s="123"/>
      <c r="K20" s="123"/>
      <c r="L20" s="123"/>
      <c r="M20" s="116"/>
      <c r="N20" s="136">
        <v>6750</v>
      </c>
      <c r="O20" s="137">
        <f t="shared" si="3"/>
        <v>6750</v>
      </c>
      <c r="P20" s="124">
        <v>6800</v>
      </c>
      <c r="Q20" s="125">
        <v>0</v>
      </c>
      <c r="R20" s="118"/>
      <c r="S20" s="24"/>
    </row>
    <row r="21" spans="1:19" s="25" customFormat="1" ht="18">
      <c r="A21" s="135" t="s">
        <v>88</v>
      </c>
      <c r="B21" s="115"/>
      <c r="C21" s="116"/>
      <c r="D21" s="116"/>
      <c r="E21" s="116"/>
      <c r="F21" s="123"/>
      <c r="G21" s="123"/>
      <c r="H21" s="123"/>
      <c r="I21" s="123"/>
      <c r="J21" s="123"/>
      <c r="K21" s="123"/>
      <c r="L21" s="123"/>
      <c r="M21" s="116"/>
      <c r="N21" s="136">
        <v>1580</v>
      </c>
      <c r="O21" s="137">
        <f t="shared" si="3"/>
        <v>1580</v>
      </c>
      <c r="P21" s="124">
        <v>1700</v>
      </c>
      <c r="Q21" s="125">
        <v>0</v>
      </c>
      <c r="R21" s="118"/>
      <c r="S21" s="24"/>
    </row>
    <row r="22" spans="1:19" s="25" customFormat="1" ht="18">
      <c r="A22" s="126" t="s">
        <v>23</v>
      </c>
      <c r="B22" s="127" t="s">
        <v>22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9">
        <v>0</v>
      </c>
      <c r="P22" s="130">
        <v>0</v>
      </c>
      <c r="Q22" s="131">
        <v>0</v>
      </c>
      <c r="R22" s="132" t="s">
        <v>45</v>
      </c>
      <c r="S22" s="24"/>
    </row>
    <row r="23" spans="1:19" s="18" customFormat="1" ht="18">
      <c r="A23" s="103" t="s">
        <v>24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8"/>
      <c r="S23" s="19"/>
    </row>
    <row r="24" spans="1:19" s="18" customFormat="1" ht="18">
      <c r="A24" s="97" t="s">
        <v>17</v>
      </c>
      <c r="B24" s="115" t="s">
        <v>82</v>
      </c>
      <c r="C24" s="133" t="e">
        <f aca="true" t="shared" si="7" ref="C24:O24">C6/C3</f>
        <v>#DIV/0!</v>
      </c>
      <c r="D24" s="133" t="e">
        <f t="shared" si="7"/>
        <v>#DIV/0!</v>
      </c>
      <c r="E24" s="133" t="e">
        <f t="shared" si="7"/>
        <v>#DIV/0!</v>
      </c>
      <c r="F24" s="133">
        <f t="shared" si="7"/>
        <v>75.98029556650246</v>
      </c>
      <c r="G24" s="133">
        <f t="shared" si="7"/>
        <v>33.08536585365854</v>
      </c>
      <c r="H24" s="133">
        <f t="shared" si="7"/>
        <v>41.77907623817474</v>
      </c>
      <c r="I24" s="133">
        <f t="shared" si="7"/>
        <v>46.87198225238157</v>
      </c>
      <c r="J24" s="133">
        <f t="shared" si="7"/>
        <v>49.80639293139293</v>
      </c>
      <c r="K24" s="133">
        <f t="shared" si="7"/>
        <v>45.8068669527897</v>
      </c>
      <c r="L24" s="133">
        <f t="shared" si="7"/>
        <v>38.93467336683417</v>
      </c>
      <c r="M24" s="133" t="e">
        <f t="shared" si="7"/>
        <v>#DIV/0!</v>
      </c>
      <c r="N24" s="133" t="e">
        <f t="shared" si="7"/>
        <v>#DIV/0!</v>
      </c>
      <c r="O24" s="133">
        <f t="shared" si="7"/>
        <v>45.90484535594184</v>
      </c>
      <c r="P24" s="133">
        <f>P6/P3</f>
        <v>43.53083434099153</v>
      </c>
      <c r="Q24" s="133">
        <f>Q6/Q3</f>
        <v>44.711910286156225</v>
      </c>
      <c r="R24" s="118" t="s">
        <v>36</v>
      </c>
      <c r="S24" s="19"/>
    </row>
    <row r="25" spans="1:19" s="18" customFormat="1" ht="18">
      <c r="A25" s="97" t="s">
        <v>19</v>
      </c>
      <c r="B25" s="92" t="s">
        <v>25</v>
      </c>
      <c r="C25" s="134" t="e">
        <f>C9/C4</f>
        <v>#DIV/0!</v>
      </c>
      <c r="D25" s="134" t="e">
        <f>D9/D4</f>
        <v>#DIV/0!</v>
      </c>
      <c r="E25" s="134" t="e">
        <f>E9/E4</f>
        <v>#DIV/0!</v>
      </c>
      <c r="F25" s="134">
        <f>F11/F4</f>
        <v>0.7393617021276596</v>
      </c>
      <c r="G25" s="134">
        <f>G11/G4</f>
        <v>0.17840407015664747</v>
      </c>
      <c r="H25" s="134">
        <f>H11/H4</f>
        <v>0.4564621011989433</v>
      </c>
      <c r="I25" s="134">
        <f aca="true" t="shared" si="8" ref="I25:N25">I9/I4</f>
        <v>0.38347134013988265</v>
      </c>
      <c r="J25" s="134">
        <f t="shared" si="8"/>
        <v>0.4212545946600961</v>
      </c>
      <c r="K25" s="134">
        <f t="shared" si="8"/>
        <v>0.17409991627128105</v>
      </c>
      <c r="L25" s="134">
        <f t="shared" si="8"/>
        <v>0.30640836573267194</v>
      </c>
      <c r="M25" s="134" t="e">
        <f t="shared" si="8"/>
        <v>#DIV/0!</v>
      </c>
      <c r="N25" s="134" t="e">
        <f t="shared" si="8"/>
        <v>#DIV/0!</v>
      </c>
      <c r="O25" s="134">
        <f>O11/O4</f>
        <v>0.3919413307495698</v>
      </c>
      <c r="P25" s="133">
        <f>P11/P4</f>
        <v>0.40183112919633773</v>
      </c>
      <c r="Q25" s="133">
        <f>Q11/Q4</f>
        <v>0.4136855697312749</v>
      </c>
      <c r="R25" s="96" t="s">
        <v>38</v>
      </c>
      <c r="S25" s="19"/>
    </row>
    <row r="26" spans="1:18" s="18" customFormat="1" ht="18">
      <c r="A26" s="97" t="s">
        <v>21</v>
      </c>
      <c r="B26" s="92" t="s">
        <v>83</v>
      </c>
      <c r="C26" s="134" t="e">
        <f aca="true" t="shared" si="9" ref="C26:Q26">C13/C3</f>
        <v>#DIV/0!</v>
      </c>
      <c r="D26" s="134" t="e">
        <f t="shared" si="9"/>
        <v>#DIV/0!</v>
      </c>
      <c r="E26" s="134" t="e">
        <f t="shared" si="9"/>
        <v>#DIV/0!</v>
      </c>
      <c r="F26" s="134">
        <f t="shared" si="9"/>
        <v>0.15862068965517243</v>
      </c>
      <c r="G26" s="134">
        <f t="shared" si="9"/>
        <v>0.07663150955833882</v>
      </c>
      <c r="H26" s="134">
        <f t="shared" si="9"/>
        <v>0.2149415692821369</v>
      </c>
      <c r="I26" s="134">
        <f t="shared" si="9"/>
        <v>0.078950802557745</v>
      </c>
      <c r="J26" s="134">
        <f t="shared" si="9"/>
        <v>0.01949064449064449</v>
      </c>
      <c r="K26" s="134">
        <f t="shared" si="9"/>
        <v>0.04153398864737644</v>
      </c>
      <c r="L26" s="134">
        <f t="shared" si="9"/>
        <v>0.027917364600781685</v>
      </c>
      <c r="M26" s="134" t="e">
        <f t="shared" si="9"/>
        <v>#DIV/0!</v>
      </c>
      <c r="N26" s="134" t="e">
        <f t="shared" si="9"/>
        <v>#DIV/0!</v>
      </c>
      <c r="O26" s="134">
        <f t="shared" si="9"/>
        <v>0.07995074124946715</v>
      </c>
      <c r="P26" s="133">
        <f t="shared" si="9"/>
        <v>0.13301088270858524</v>
      </c>
      <c r="Q26" s="133">
        <f t="shared" si="9"/>
        <v>0.1439879896274055</v>
      </c>
      <c r="R26" s="96" t="s">
        <v>41</v>
      </c>
    </row>
    <row r="27" spans="1:18" s="18" customFormat="1" ht="18">
      <c r="A27" s="97" t="s">
        <v>32</v>
      </c>
      <c r="B27" s="92" t="s">
        <v>33</v>
      </c>
      <c r="C27" s="134" t="e">
        <f aca="true" t="shared" si="10" ref="C27:Q27">C15/C4</f>
        <v>#DIV/0!</v>
      </c>
      <c r="D27" s="134" t="e">
        <f t="shared" si="10"/>
        <v>#DIV/0!</v>
      </c>
      <c r="E27" s="134" t="e">
        <f t="shared" si="10"/>
        <v>#DIV/0!</v>
      </c>
      <c r="F27" s="134">
        <f t="shared" si="10"/>
        <v>29.94118047112462</v>
      </c>
      <c r="G27" s="134">
        <f t="shared" si="10"/>
        <v>13.765507765430446</v>
      </c>
      <c r="H27" s="134">
        <f t="shared" si="10"/>
        <v>16.078008280837228</v>
      </c>
      <c r="I27" s="134">
        <f t="shared" si="10"/>
        <v>14.692199332743789</v>
      </c>
      <c r="J27" s="134">
        <f t="shared" si="10"/>
        <v>15.546312154138223</v>
      </c>
      <c r="K27" s="134">
        <f t="shared" si="10"/>
        <v>18.643767792352776</v>
      </c>
      <c r="L27" s="134">
        <f t="shared" si="10"/>
        <v>14.128304732537872</v>
      </c>
      <c r="M27" s="134" t="e">
        <f t="shared" si="10"/>
        <v>#DIV/0!</v>
      </c>
      <c r="N27" s="134" t="e">
        <f t="shared" si="10"/>
        <v>#DIV/0!</v>
      </c>
      <c r="O27" s="134">
        <f t="shared" si="10"/>
        <v>16.485813735153105</v>
      </c>
      <c r="P27" s="133">
        <f t="shared" si="10"/>
        <v>15.747444048830111</v>
      </c>
      <c r="Q27" s="133">
        <f t="shared" si="10"/>
        <v>16.500979478142234</v>
      </c>
      <c r="R27" s="118" t="s">
        <v>42</v>
      </c>
    </row>
    <row r="28" spans="1:18" s="18" customFormat="1" ht="18">
      <c r="A28" s="201" t="s">
        <v>26</v>
      </c>
      <c r="B28" s="202" t="s">
        <v>27</v>
      </c>
      <c r="C28" s="203" t="e">
        <f aca="true" t="shared" si="11" ref="C28:O28">C22/C4</f>
        <v>#DIV/0!</v>
      </c>
      <c r="D28" s="203" t="e">
        <f t="shared" si="11"/>
        <v>#DIV/0!</v>
      </c>
      <c r="E28" s="203" t="e">
        <f t="shared" si="11"/>
        <v>#DIV/0!</v>
      </c>
      <c r="F28" s="203">
        <f t="shared" si="11"/>
        <v>0</v>
      </c>
      <c r="G28" s="203">
        <f t="shared" si="11"/>
        <v>0</v>
      </c>
      <c r="H28" s="203">
        <f t="shared" si="11"/>
        <v>0</v>
      </c>
      <c r="I28" s="203">
        <f t="shared" si="11"/>
        <v>0</v>
      </c>
      <c r="J28" s="203">
        <f t="shared" si="11"/>
        <v>0</v>
      </c>
      <c r="K28" s="203">
        <f t="shared" si="11"/>
        <v>0</v>
      </c>
      <c r="L28" s="203">
        <f t="shared" si="11"/>
        <v>0</v>
      </c>
      <c r="M28" s="203" t="e">
        <f t="shared" si="11"/>
        <v>#DIV/0!</v>
      </c>
      <c r="N28" s="203" t="e">
        <f t="shared" si="11"/>
        <v>#DIV/0!</v>
      </c>
      <c r="O28" s="203">
        <f t="shared" si="11"/>
        <v>0</v>
      </c>
      <c r="P28" s="203">
        <v>0</v>
      </c>
      <c r="Q28" s="203">
        <v>0</v>
      </c>
      <c r="R28" s="204" t="s">
        <v>45</v>
      </c>
    </row>
    <row r="29" spans="1:19" ht="18">
      <c r="A29" s="135" t="s">
        <v>85</v>
      </c>
      <c r="B29" s="205" t="s">
        <v>92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206">
        <f>O18/O4</f>
        <v>0.7141544578272999</v>
      </c>
      <c r="P29" s="206">
        <v>0.7</v>
      </c>
      <c r="Q29" s="144"/>
      <c r="R29" s="142"/>
      <c r="S29" s="18"/>
    </row>
    <row r="30" spans="1:18" ht="18">
      <c r="A30" s="135" t="s">
        <v>86</v>
      </c>
      <c r="B30" s="205" t="s">
        <v>92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07">
        <f>O19/O4</f>
        <v>0.33410734869113445</v>
      </c>
      <c r="P30" s="207">
        <v>0.4</v>
      </c>
      <c r="Q30" s="65"/>
      <c r="R30" s="44"/>
    </row>
    <row r="31" spans="1:18" ht="18">
      <c r="A31" s="135" t="s">
        <v>87</v>
      </c>
      <c r="B31" s="205" t="s">
        <v>92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07">
        <f>O20/O4</f>
        <v>0.05638061509162894</v>
      </c>
      <c r="P31" s="207">
        <v>0.07</v>
      </c>
      <c r="Q31" s="65"/>
      <c r="R31" s="44"/>
    </row>
    <row r="32" spans="1:18" ht="18">
      <c r="A32" s="135" t="s">
        <v>88</v>
      </c>
      <c r="B32" s="205" t="s">
        <v>92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07">
        <f>O21/O4</f>
        <v>0.01319724027329981</v>
      </c>
      <c r="P32" s="207">
        <v>0.03</v>
      </c>
      <c r="Q32" s="65"/>
      <c r="R32" s="44"/>
    </row>
    <row r="33" spans="1:18" ht="15">
      <c r="A33" s="145"/>
      <c r="B33" s="14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65"/>
      <c r="Q33" s="65"/>
      <c r="R33" s="44"/>
    </row>
    <row r="34" spans="13:18" ht="15">
      <c r="M34" s="22"/>
      <c r="R34" s="22"/>
    </row>
    <row r="35" spans="13:18" ht="15">
      <c r="M35" s="22"/>
      <c r="N35" s="29"/>
      <c r="O35" s="29"/>
      <c r="P35" s="31"/>
      <c r="Q35" s="72"/>
      <c r="R35" s="30"/>
    </row>
    <row r="36" ht="15">
      <c r="R36" s="22"/>
    </row>
    <row r="37" ht="15">
      <c r="R37" s="22"/>
    </row>
  </sheetData>
  <sheetProtection/>
  <mergeCells count="2">
    <mergeCell ref="A1:O1"/>
    <mergeCell ref="B3:B4"/>
  </mergeCells>
  <printOptions/>
  <pageMargins left="0.16" right="0.1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2023-10-02T14:04:42Z</dcterms:modified>
  <cp:category/>
  <cp:version/>
  <cp:contentType/>
  <cp:contentStatus/>
</cp:coreProperties>
</file>